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Boiler NG" sheetId="2" r:id="rId1"/>
  </sheets>
  <definedNames>
    <definedName name="_xlnm.Print_Area" localSheetId="0">'Boiler NG'!$A$1:$F$56</definedName>
  </definedNames>
  <calcPr calcId="145621"/>
</workbook>
</file>

<file path=xl/calcChain.xml><?xml version="1.0" encoding="utf-8"?>
<calcChain xmlns="http://schemas.openxmlformats.org/spreadsheetml/2006/main">
  <c r="C9" i="2" l="1"/>
  <c r="D9" i="2" s="1"/>
  <c r="I94" i="2"/>
  <c r="J94" i="2" s="1"/>
  <c r="C14" i="2" l="1"/>
  <c r="C13" i="2"/>
  <c r="C12" i="2"/>
  <c r="C11" i="2"/>
  <c r="C10" i="2"/>
  <c r="C8" i="2"/>
  <c r="D8" i="2" s="1"/>
  <c r="D14" i="2" l="1"/>
  <c r="D13" i="2"/>
  <c r="D12" i="2"/>
  <c r="D11" i="2"/>
  <c r="D10" i="2"/>
  <c r="C20" i="2"/>
  <c r="D20" i="2" s="1"/>
  <c r="C19" i="2"/>
  <c r="D19" i="2" s="1"/>
  <c r="C18" i="2"/>
  <c r="D18" i="2" s="1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C48" i="2"/>
  <c r="D48" i="2" s="1"/>
  <c r="C47" i="2"/>
  <c r="D47" i="2" s="1"/>
  <c r="C46" i="2"/>
  <c r="D46" i="2" s="1"/>
  <c r="C45" i="2"/>
  <c r="D45" i="2" s="1"/>
  <c r="C44" i="2"/>
  <c r="D44" i="2" s="1"/>
  <c r="C43" i="2"/>
  <c r="D43" i="2" s="1"/>
  <c r="C42" i="2"/>
  <c r="D42" i="2" s="1"/>
  <c r="C41" i="2"/>
  <c r="D41" i="2" s="1"/>
  <c r="C40" i="2"/>
  <c r="D40" i="2" s="1"/>
  <c r="C39" i="2"/>
  <c r="D39" i="2" s="1"/>
  <c r="C38" i="2"/>
  <c r="D38" i="2" s="1"/>
  <c r="C37" i="2"/>
  <c r="D37" i="2" s="1"/>
  <c r="C36" i="2"/>
  <c r="D36" i="2" s="1"/>
  <c r="C35" i="2"/>
  <c r="D35" i="2" s="1"/>
  <c r="C34" i="2"/>
  <c r="D34" i="2" s="1"/>
  <c r="C33" i="2"/>
  <c r="D33" i="2" s="1"/>
  <c r="C32" i="2"/>
  <c r="D32" i="2" s="1"/>
  <c r="C31" i="2"/>
  <c r="D31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I95" i="2"/>
  <c r="J95" i="2" s="1"/>
  <c r="K95" i="2" s="1"/>
  <c r="L95" i="2" s="1"/>
  <c r="K94" i="2" l="1"/>
  <c r="L94" i="2" s="1"/>
  <c r="L79" i="2" l="1"/>
  <c r="M79" i="2" s="1"/>
  <c r="N79" i="2" s="1"/>
  <c r="L78" i="2"/>
  <c r="M78" i="2" s="1"/>
  <c r="N78" i="2" s="1"/>
  <c r="L77" i="2"/>
  <c r="M77" i="2" s="1"/>
  <c r="N77" i="2" s="1"/>
  <c r="L76" i="2"/>
  <c r="M76" i="2" s="1"/>
  <c r="N76" i="2" s="1"/>
  <c r="L75" i="2"/>
  <c r="M75" i="2" s="1"/>
  <c r="N75" i="2" s="1"/>
  <c r="L74" i="2"/>
  <c r="M74" i="2" s="1"/>
  <c r="N74" i="2" s="1"/>
  <c r="L73" i="2"/>
  <c r="M73" i="2" s="1"/>
  <c r="N73" i="2" s="1"/>
  <c r="L72" i="2"/>
  <c r="M72" i="2" s="1"/>
  <c r="N72" i="2" s="1"/>
  <c r="L71" i="2"/>
  <c r="M71" i="2" s="1"/>
  <c r="N71" i="2" s="1"/>
  <c r="L68" i="2"/>
  <c r="M68" i="2" s="1"/>
  <c r="N68" i="2" s="1"/>
  <c r="L67" i="2"/>
  <c r="M67" i="2" s="1"/>
  <c r="N67" i="2" s="1"/>
  <c r="L66" i="2"/>
  <c r="M66" i="2" s="1"/>
  <c r="N66" i="2" s="1"/>
  <c r="L65" i="2"/>
  <c r="M65" i="2" s="1"/>
  <c r="N65" i="2" s="1"/>
  <c r="L64" i="2"/>
  <c r="M64" i="2" s="1"/>
  <c r="N64" i="2" s="1"/>
  <c r="L63" i="2"/>
  <c r="M63" i="2" s="1"/>
  <c r="N63" i="2" s="1"/>
  <c r="L62" i="2"/>
  <c r="M62" i="2" s="1"/>
  <c r="N62" i="2" s="1"/>
  <c r="L61" i="2"/>
  <c r="M61" i="2" s="1"/>
  <c r="N61" i="2" s="1"/>
  <c r="L60" i="2"/>
  <c r="M60" i="2" s="1"/>
  <c r="N60" i="2" s="1"/>
  <c r="L59" i="2"/>
  <c r="M59" i="2" s="1"/>
  <c r="N59" i="2" s="1"/>
  <c r="L58" i="2"/>
  <c r="M58" i="2" s="1"/>
  <c r="N58" i="2" s="1"/>
  <c r="L57" i="2"/>
  <c r="M57" i="2" s="1"/>
  <c r="N57" i="2" s="1"/>
  <c r="L56" i="2"/>
  <c r="M56" i="2" s="1"/>
  <c r="N56" i="2" s="1"/>
  <c r="L55" i="2"/>
  <c r="M55" i="2" s="1"/>
  <c r="N55" i="2" s="1"/>
  <c r="L54" i="2"/>
  <c r="M54" i="2" s="1"/>
  <c r="N54" i="2" s="1"/>
  <c r="L53" i="2"/>
  <c r="M53" i="2" s="1"/>
  <c r="N53" i="2" s="1"/>
  <c r="L52" i="2"/>
  <c r="M52" i="2" s="1"/>
  <c r="N52" i="2" s="1"/>
  <c r="L51" i="2"/>
  <c r="M51" i="2" s="1"/>
  <c r="N51" i="2" s="1"/>
  <c r="L50" i="2"/>
  <c r="M50" i="2" s="1"/>
  <c r="N50" i="2" s="1"/>
  <c r="L49" i="2"/>
  <c r="M49" i="2" s="1"/>
  <c r="N49" i="2" s="1"/>
  <c r="L48" i="2"/>
  <c r="M48" i="2" s="1"/>
  <c r="N48" i="2" s="1"/>
  <c r="L47" i="2"/>
  <c r="M47" i="2" s="1"/>
  <c r="N47" i="2" s="1"/>
  <c r="L46" i="2"/>
  <c r="M46" i="2" s="1"/>
  <c r="N46" i="2" s="1"/>
  <c r="L45" i="2"/>
  <c r="M45" i="2" s="1"/>
  <c r="N45" i="2" s="1"/>
  <c r="L36" i="2"/>
  <c r="M36" i="2" s="1"/>
  <c r="N36" i="2" s="1"/>
  <c r="L35" i="2"/>
  <c r="M35" i="2" s="1"/>
  <c r="N35" i="2" s="1"/>
  <c r="N40" i="2" s="1"/>
  <c r="L34" i="2"/>
  <c r="M34" i="2" s="1"/>
  <c r="N34" i="2" s="1"/>
  <c r="L33" i="2"/>
  <c r="M33" i="2" s="1"/>
  <c r="N33" i="2" s="1"/>
  <c r="L32" i="2"/>
  <c r="M32" i="2" s="1"/>
  <c r="N32" i="2" s="1"/>
  <c r="L31" i="2"/>
  <c r="M31" i="2" s="1"/>
  <c r="N31" i="2" s="1"/>
  <c r="L30" i="2"/>
  <c r="M30" i="2" s="1"/>
  <c r="N30" i="2" s="1"/>
  <c r="L29" i="2"/>
  <c r="M29" i="2" s="1"/>
  <c r="N29" i="2" s="1"/>
  <c r="L28" i="2"/>
  <c r="M28" i="2" s="1"/>
  <c r="N28" i="2" s="1"/>
  <c r="N41" i="2" s="1"/>
  <c r="L27" i="2"/>
  <c r="M27" i="2" s="1"/>
  <c r="N27" i="2" s="1"/>
  <c r="L26" i="2"/>
  <c r="M26" i="2" s="1"/>
  <c r="N26" i="2" s="1"/>
  <c r="N39" i="2" s="1"/>
  <c r="L23" i="2"/>
  <c r="M23" i="2" s="1"/>
  <c r="N23" i="2" s="1"/>
  <c r="L22" i="2"/>
  <c r="M22" i="2" s="1"/>
  <c r="N22" i="2" s="1"/>
  <c r="L21" i="2"/>
  <c r="M21" i="2" s="1"/>
  <c r="N21" i="2" s="1"/>
  <c r="L20" i="2"/>
  <c r="M20" i="2" s="1"/>
  <c r="N20" i="2" s="1"/>
  <c r="L19" i="2"/>
  <c r="M19" i="2" s="1"/>
  <c r="N19" i="2" s="1"/>
  <c r="L18" i="2"/>
  <c r="M18" i="2" s="1"/>
  <c r="N18" i="2" s="1"/>
  <c r="L17" i="2"/>
  <c r="M17" i="2" s="1"/>
  <c r="N17" i="2" s="1"/>
  <c r="L16" i="2"/>
  <c r="M16" i="2" s="1"/>
  <c r="N16" i="2" s="1"/>
  <c r="L15" i="2"/>
  <c r="M15" i="2" s="1"/>
  <c r="N15" i="2" s="1"/>
  <c r="L12" i="2"/>
  <c r="M12" i="2" s="1"/>
  <c r="N12" i="2" s="1"/>
  <c r="L11" i="2"/>
  <c r="M11" i="2" s="1"/>
  <c r="N11" i="2" s="1"/>
  <c r="L10" i="2"/>
  <c r="M10" i="2" s="1"/>
  <c r="N10" i="2" s="1"/>
  <c r="L9" i="2"/>
  <c r="M9" i="2" s="1"/>
  <c r="N9" i="2" s="1"/>
  <c r="L8" i="2"/>
  <c r="M8" i="2" s="1"/>
  <c r="N8" i="2" s="1"/>
  <c r="L7" i="2"/>
  <c r="M7" i="2" s="1"/>
  <c r="N7" i="2" s="1"/>
  <c r="L6" i="2"/>
  <c r="M6" i="2" s="1"/>
  <c r="N6" i="2" s="1"/>
  <c r="L5" i="2"/>
  <c r="M5" i="2" s="1"/>
  <c r="N5" i="2" s="1"/>
  <c r="L4" i="2"/>
  <c r="M4" i="2" s="1"/>
  <c r="N4" i="2" s="1"/>
  <c r="M41" i="2" l="1"/>
  <c r="N82" i="2"/>
  <c r="M82" i="2"/>
  <c r="M39" i="2"/>
  <c r="M40" i="2"/>
  <c r="N42" i="2"/>
  <c r="M42" i="2" l="1"/>
  <c r="E20" i="2" l="1"/>
  <c r="E55" i="2"/>
  <c r="O78" i="2" s="1"/>
  <c r="E54" i="2"/>
  <c r="O77" i="2" s="1"/>
  <c r="E53" i="2"/>
  <c r="O76" i="2" s="1"/>
  <c r="E19" i="2"/>
  <c r="O35" i="2" s="1"/>
  <c r="E18" i="2"/>
  <c r="O26" i="2" s="1"/>
  <c r="O29" i="2" l="1"/>
  <c r="O28" i="2"/>
  <c r="E21" i="2"/>
  <c r="O42" i="2" s="1"/>
  <c r="D15" i="2" l="1"/>
  <c r="E56" i="2" l="1"/>
  <c r="O79" i="2" s="1"/>
  <c r="E25" i="2"/>
  <c r="O46" i="2" s="1"/>
  <c r="E26" i="2"/>
  <c r="O47" i="2" s="1"/>
  <c r="E27" i="2"/>
  <c r="O48" i="2" s="1"/>
  <c r="E28" i="2"/>
  <c r="O49" i="2" s="1"/>
  <c r="E29" i="2"/>
  <c r="O50" i="2" s="1"/>
  <c r="E30" i="2"/>
  <c r="O51" i="2" s="1"/>
  <c r="E31" i="2"/>
  <c r="O52" i="2" s="1"/>
  <c r="E32" i="2"/>
  <c r="O53" i="2" s="1"/>
  <c r="E33" i="2"/>
  <c r="O54" i="2" s="1"/>
  <c r="E34" i="2"/>
  <c r="O55" i="2" s="1"/>
  <c r="E35" i="2"/>
  <c r="O56" i="2" s="1"/>
  <c r="E36" i="2"/>
  <c r="O57" i="2" s="1"/>
  <c r="E37" i="2"/>
  <c r="O58" i="2" s="1"/>
  <c r="E38" i="2"/>
  <c r="O59" i="2" s="1"/>
  <c r="E39" i="2"/>
  <c r="O60" i="2" s="1"/>
  <c r="E40" i="2"/>
  <c r="O61" i="2" s="1"/>
  <c r="E41" i="2"/>
  <c r="O62" i="2" s="1"/>
  <c r="E42" i="2"/>
  <c r="O63" i="2" s="1"/>
  <c r="E43" i="2"/>
  <c r="O64" i="2" s="1"/>
  <c r="E44" i="2"/>
  <c r="O65" i="2" s="1"/>
  <c r="E45" i="2"/>
  <c r="O66" i="2" s="1"/>
  <c r="E46" i="2"/>
  <c r="O67" i="2" s="1"/>
  <c r="E47" i="2"/>
  <c r="O68" i="2" s="1"/>
  <c r="E48" i="2"/>
  <c r="O71" i="2" s="1"/>
  <c r="E49" i="2"/>
  <c r="O72" i="2" s="1"/>
  <c r="E50" i="2"/>
  <c r="O73" i="2" s="1"/>
  <c r="E51" i="2"/>
  <c r="O74" i="2" s="1"/>
  <c r="E52" i="2"/>
  <c r="O75" i="2" s="1"/>
  <c r="E10" i="2"/>
  <c r="O30" i="2" s="1"/>
  <c r="E11" i="2"/>
  <c r="E12" i="2"/>
  <c r="O33" i="2" s="1"/>
  <c r="E13" i="2"/>
  <c r="O36" i="2" s="1"/>
  <c r="E14" i="2"/>
  <c r="O27" i="2" s="1"/>
  <c r="E15" i="2" l="1"/>
  <c r="O82" i="2" s="1"/>
  <c r="E24" i="2"/>
  <c r="O45" i="2" s="1"/>
  <c r="E8" i="2" l="1"/>
  <c r="M94" i="2" s="1"/>
  <c r="E9" i="2"/>
  <c r="M95" i="2" s="1"/>
  <c r="O23" i="2" l="1"/>
  <c r="O19" i="2"/>
  <c r="O15" i="2"/>
  <c r="O22" i="2"/>
  <c r="O18" i="2"/>
  <c r="O21" i="2"/>
  <c r="O17" i="2"/>
  <c r="O20" i="2"/>
  <c r="O16" i="2"/>
  <c r="O9" i="2"/>
  <c r="O5" i="2"/>
  <c r="O12" i="2"/>
  <c r="O8" i="2"/>
  <c r="O4" i="2"/>
  <c r="O11" i="2"/>
  <c r="O7" i="2"/>
  <c r="O10" i="2"/>
  <c r="O6" i="2"/>
</calcChain>
</file>

<file path=xl/sharedStrings.xml><?xml version="1.0" encoding="utf-8"?>
<sst xmlns="http://schemas.openxmlformats.org/spreadsheetml/2006/main" count="222" uniqueCount="112">
  <si>
    <t>Operational Hours</t>
  </si>
  <si>
    <t>hours/year</t>
  </si>
  <si>
    <t>Rating</t>
  </si>
  <si>
    <r>
      <t>NO</t>
    </r>
    <r>
      <rPr>
        <vertAlign val="subscript"/>
        <sz val="10"/>
        <rFont val="Arial"/>
        <family val="2"/>
      </rPr>
      <t>X</t>
    </r>
  </si>
  <si>
    <t>CO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</si>
  <si>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</si>
  <si>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</si>
  <si>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r>
      <t>SO</t>
    </r>
    <r>
      <rPr>
        <vertAlign val="subscript"/>
        <sz val="10"/>
        <rFont val="Arial"/>
        <family val="2"/>
      </rPr>
      <t>2</t>
    </r>
  </si>
  <si>
    <t>VOC</t>
  </si>
  <si>
    <t>Lead</t>
  </si>
  <si>
    <t>2-Methylnaphthalene</t>
  </si>
  <si>
    <t>3-Methylchloranthrene</t>
  </si>
  <si>
    <t>7,12-Dimethylbenz(a)anthracene</t>
  </si>
  <si>
    <t>Acenaphthene</t>
  </si>
  <si>
    <t>Acenaphthylene</t>
  </si>
  <si>
    <t>Anthracene</t>
  </si>
  <si>
    <t>Benz(a)anthracene</t>
  </si>
  <si>
    <t>Benzene</t>
  </si>
  <si>
    <t>Benzo(a)pyrene</t>
  </si>
  <si>
    <t>Benzo(b)fluoranthene</t>
  </si>
  <si>
    <t>Benzo(g,h,i)perylene</t>
  </si>
  <si>
    <t>Benzo(k)fluoranthene</t>
  </si>
  <si>
    <t>Chrysene</t>
  </si>
  <si>
    <t>Dibenzo(a,h)anthracene</t>
  </si>
  <si>
    <t>Dichlorobenzene</t>
  </si>
  <si>
    <t>Fluoranthene</t>
  </si>
  <si>
    <t>Fluorene</t>
  </si>
  <si>
    <t>Formaldehyde</t>
  </si>
  <si>
    <t>Hexane</t>
  </si>
  <si>
    <t>Indeno(1,2,3-cd)pyrene</t>
  </si>
  <si>
    <t>Naphthalene</t>
  </si>
  <si>
    <t>Phenanathrene</t>
  </si>
  <si>
    <t>Pyrene</t>
  </si>
  <si>
    <t>Toluene</t>
  </si>
  <si>
    <t>Arsenic</t>
  </si>
  <si>
    <t>Beryllium</t>
  </si>
  <si>
    <t>Cadmium</t>
  </si>
  <si>
    <t>Chromium</t>
  </si>
  <si>
    <t>Cobalt</t>
  </si>
  <si>
    <t>Manganese</t>
  </si>
  <si>
    <t>Mercury</t>
  </si>
  <si>
    <t>Nickel</t>
  </si>
  <si>
    <t>Selenium</t>
  </si>
  <si>
    <t>Criteria Pollutant</t>
  </si>
  <si>
    <t>AP-42 Table 1.4-3</t>
  </si>
  <si>
    <t>Equipment Details</t>
  </si>
  <si>
    <t>Natural Gas-Fired Boilers &amp; Heaters</t>
  </si>
  <si>
    <t>Reference</t>
  </si>
  <si>
    <t>Manufacturer Data
or AP-42 Table 1.4-1</t>
  </si>
  <si>
    <t>Global Warming Potential</t>
  </si>
  <si>
    <t>Methane (mass basis)</t>
  </si>
  <si>
    <t>Concentration
(ppm)</t>
  </si>
  <si>
    <t>Emission Factor
(lb/10^6 scf)</t>
  </si>
  <si>
    <t>Emission
Rate
(lbs/hr)</t>
  </si>
  <si>
    <t>Emission
Total
(tons/year)</t>
  </si>
  <si>
    <t>Green House Gas Pollutant</t>
  </si>
  <si>
    <t>HAP</t>
  </si>
  <si>
    <t>Hazardous Air Pollutant</t>
  </si>
  <si>
    <t>See Below</t>
  </si>
  <si>
    <t>AP-42 Table 1.4-4</t>
  </si>
  <si>
    <t>AP-42 Table 1.4-2</t>
  </si>
  <si>
    <t>AP-42 Table 1.4-2
&amp;
Table A-1 to
Subpart A of Part 98</t>
  </si>
  <si>
    <t>MMBtu/hour</t>
  </si>
  <si>
    <t>Normal</t>
  </si>
  <si>
    <t>Table 1.4-1</t>
  </si>
  <si>
    <t>Uncontrolled</t>
  </si>
  <si>
    <t>Uncontrolled - Pre NSPS (Subparts D &amp; Db)</t>
  </si>
  <si>
    <t>Uncontrolled - Post NSPS (Subparts D &amp; Db)</t>
  </si>
  <si>
    <t>Nox</t>
  </si>
  <si>
    <t>NOx</t>
  </si>
  <si>
    <t>Controlled - Low Nox burners</t>
  </si>
  <si>
    <t>Size</t>
  </si>
  <si>
    <t>&gt;100 MMBtu/hr</t>
  </si>
  <si>
    <t>&lt;100 MMBtu/hr</t>
  </si>
  <si>
    <t>Controlled - Low Nox burners/FGR</t>
  </si>
  <si>
    <t>Controlled - Flue gas recirculation (FGR)</t>
  </si>
  <si>
    <t>Tangential-Fired</t>
  </si>
  <si>
    <t>Controlled - FGR</t>
  </si>
  <si>
    <t>lb/10^6 scf</t>
  </si>
  <si>
    <t>lb/MMBtu</t>
  </si>
  <si>
    <t>lb/hr</t>
  </si>
  <si>
    <t>Ton/year</t>
  </si>
  <si>
    <t>BTU/scf or MMBtu/MMscf</t>
  </si>
  <si>
    <t>CO2</t>
  </si>
  <si>
    <t>N2O</t>
  </si>
  <si>
    <t>PM (total)</t>
  </si>
  <si>
    <t>PM (cond)</t>
  </si>
  <si>
    <t>PM (filter)</t>
  </si>
  <si>
    <t>SO2</t>
  </si>
  <si>
    <t>Methane</t>
  </si>
  <si>
    <t>TOC</t>
  </si>
  <si>
    <t>Table 1.4-2</t>
  </si>
  <si>
    <t>Any Size</t>
  </si>
  <si>
    <t>CO2e</t>
  </si>
  <si>
    <t>Total CO2e</t>
  </si>
  <si>
    <t>Table 1.4-3</t>
  </si>
  <si>
    <t>HAP - Organic</t>
  </si>
  <si>
    <t>HAP - Metal</t>
  </si>
  <si>
    <t>Table 1.4-4</t>
  </si>
  <si>
    <t>Total HAP</t>
  </si>
  <si>
    <t>Check</t>
  </si>
  <si>
    <t>Source: AQMD Permit Sample Evaluation Natural Gas Fired Boiler 5-20 MMBTU/HR, 2007</t>
  </si>
  <si>
    <t>Nox Molecular Weight</t>
  </si>
  <si>
    <t>CO Molecular Weight</t>
  </si>
  <si>
    <t>lb/lb-mole</t>
  </si>
  <si>
    <t>ppm to lb/MMBtu Conversion.</t>
  </si>
  <si>
    <t>Concentration</t>
  </si>
  <si>
    <t>Firing</t>
  </si>
  <si>
    <t>Heating Value of Natural Gas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</si>
  <si>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(mass basis)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</si>
  <si>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(mass basis)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</si>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</sst>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/>
    <xf numFmtId="0" fontId="5" fillId="0" borderId="0" xfId="1" applyFont="1" applyFill="1" applyBorder="1"/>
    <xf numFmtId="0" fontId="0" fillId="0" borderId="7" xfId="1" applyFont="1" applyFill="1" applyBorder="1"/>
    <xf numFmtId="0" fontId="0" fillId="0" borderId="8" xfId="1" applyFont="1" applyFill="1" applyBorder="1"/>
    <xf numFmtId="0" fontId="0" fillId="2" borderId="10" xfId="1" applyFont="1" applyFill="1" applyBorder="1"/>
    <xf numFmtId="0" fontId="2" fillId="0" borderId="16" xfId="1" applyBorder="1"/>
    <xf numFmtId="0" fontId="0" fillId="0" borderId="11" xfId="1" applyFont="1" applyFill="1" applyBorder="1"/>
    <xf numFmtId="0" fontId="0" fillId="0" borderId="10" xfId="1" applyFont="1" applyFill="1" applyBorder="1"/>
    <xf numFmtId="0" fontId="0" fillId="2" borderId="6" xfId="1" applyFont="1" applyFill="1" applyBorder="1"/>
    <xf numFmtId="0" fontId="0" fillId="0" borderId="7" xfId="1" applyFont="1" applyFill="1" applyBorder="1" applyAlignment="1">
      <alignment horizontal="center" vertical="center" wrapText="1"/>
    </xf>
    <xf numFmtId="0" fontId="2" fillId="0" borderId="16" xfId="1" applyFill="1" applyBorder="1"/>
    <xf numFmtId="0" fontId="3" fillId="4" borderId="23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20" xfId="0" applyFont="1" applyFill="1" applyBorder="1" applyAlignment="1">
      <alignment wrapText="1"/>
    </xf>
    <xf numFmtId="0" fontId="3" fillId="4" borderId="21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0" fillId="0" borderId="10" xfId="1" applyFont="1" applyFill="1" applyBorder="1" applyAlignment="1">
      <alignment horizontal="left"/>
    </xf>
    <xf numFmtId="0" fontId="0" fillId="2" borderId="10" xfId="1" applyFont="1" applyFill="1" applyBorder="1" applyAlignment="1">
      <alignment horizontal="left"/>
    </xf>
    <xf numFmtId="0" fontId="0" fillId="0" borderId="8" xfId="1" applyFont="1" applyFill="1" applyBorder="1" applyAlignment="1">
      <alignment horizontal="left"/>
    </xf>
    <xf numFmtId="0" fontId="0" fillId="0" borderId="0" xfId="1" applyFont="1"/>
    <xf numFmtId="0" fontId="2" fillId="3" borderId="0" xfId="1" applyFill="1"/>
    <xf numFmtId="2" fontId="2" fillId="0" borderId="0" xfId="1" applyNumberFormat="1"/>
    <xf numFmtId="0" fontId="0" fillId="0" borderId="0" xfId="1" applyFont="1" applyFill="1"/>
    <xf numFmtId="3" fontId="2" fillId="0" borderId="0" xfId="1" applyNumberFormat="1"/>
    <xf numFmtId="0" fontId="2" fillId="0" borderId="0" xfId="1" applyFill="1"/>
    <xf numFmtId="165" fontId="2" fillId="0" borderId="0" xfId="1" applyNumberFormat="1" applyFill="1"/>
    <xf numFmtId="2" fontId="2" fillId="0" borderId="0" xfId="1" applyNumberFormat="1" applyFill="1"/>
    <xf numFmtId="3" fontId="2" fillId="0" borderId="0" xfId="1" applyNumberFormat="1" applyFill="1"/>
    <xf numFmtId="11" fontId="2" fillId="0" borderId="0" xfId="1" applyNumberFormat="1" applyFill="1"/>
    <xf numFmtId="0" fontId="3" fillId="0" borderId="0" xfId="1" applyFont="1"/>
    <xf numFmtId="0" fontId="3" fillId="0" borderId="0" xfId="1" applyFont="1" applyFill="1"/>
    <xf numFmtId="0" fontId="2" fillId="0" borderId="0" xfId="1" applyFont="1"/>
    <xf numFmtId="3" fontId="3" fillId="5" borderId="0" xfId="1" applyNumberFormat="1" applyFont="1" applyFill="1"/>
    <xf numFmtId="0" fontId="3" fillId="0" borderId="16" xfId="1" applyFont="1" applyBorder="1"/>
    <xf numFmtId="0" fontId="3" fillId="0" borderId="16" xfId="1" applyFont="1" applyFill="1" applyBorder="1"/>
    <xf numFmtId="0" fontId="2" fillId="0" borderId="27" xfId="1" applyFill="1" applyBorder="1"/>
    <xf numFmtId="0" fontId="0" fillId="0" borderId="27" xfId="1" applyFont="1" applyFill="1" applyBorder="1"/>
    <xf numFmtId="165" fontId="2" fillId="0" borderId="27" xfId="1" applyNumberFormat="1" applyFill="1" applyBorder="1"/>
    <xf numFmtId="2" fontId="2" fillId="0" borderId="27" xfId="1" applyNumberFormat="1" applyFill="1" applyBorder="1"/>
    <xf numFmtId="0" fontId="2" fillId="0" borderId="28" xfId="1" applyFill="1" applyBorder="1"/>
    <xf numFmtId="0" fontId="0" fillId="0" borderId="28" xfId="1" applyFont="1" applyFill="1" applyBorder="1"/>
    <xf numFmtId="165" fontId="2" fillId="0" borderId="28" xfId="1" applyNumberFormat="1" applyFill="1" applyBorder="1"/>
    <xf numFmtId="2" fontId="2" fillId="0" borderId="28" xfId="1" applyNumberFormat="1" applyFill="1" applyBorder="1"/>
    <xf numFmtId="0" fontId="0" fillId="0" borderId="0" xfId="1" applyFont="1" applyFill="1" applyBorder="1"/>
    <xf numFmtId="0" fontId="0" fillId="0" borderId="16" xfId="1" applyFont="1" applyBorder="1"/>
    <xf numFmtId="0" fontId="0" fillId="0" borderId="0" xfId="1" applyFont="1" applyBorder="1"/>
    <xf numFmtId="0" fontId="0" fillId="0" borderId="16" xfId="1" applyFont="1" applyFill="1" applyBorder="1"/>
    <xf numFmtId="0" fontId="7" fillId="0" borderId="18" xfId="3" applyFont="1" applyBorder="1"/>
    <xf numFmtId="1" fontId="0" fillId="0" borderId="3" xfId="1" applyNumberFormat="1" applyFont="1" applyFill="1" applyBorder="1"/>
    <xf numFmtId="2" fontId="0" fillId="0" borderId="3" xfId="1" applyNumberFormat="1" applyFont="1" applyFill="1" applyBorder="1"/>
    <xf numFmtId="1" fontId="0" fillId="2" borderId="1" xfId="1" applyNumberFormat="1" applyFont="1" applyFill="1" applyBorder="1"/>
    <xf numFmtId="2" fontId="0" fillId="2" borderId="1" xfId="1" applyNumberFormat="1" applyFont="1" applyFill="1" applyBorder="1"/>
    <xf numFmtId="0" fontId="0" fillId="0" borderId="1" xfId="1" applyFont="1" applyFill="1" applyBorder="1"/>
    <xf numFmtId="2" fontId="0" fillId="0" borderId="1" xfId="1" applyNumberFormat="1" applyFont="1" applyFill="1" applyBorder="1"/>
    <xf numFmtId="0" fontId="0" fillId="2" borderId="1" xfId="1" applyFont="1" applyFill="1" applyBorder="1"/>
    <xf numFmtId="0" fontId="0" fillId="2" borderId="2" xfId="1" applyFont="1" applyFill="1" applyBorder="1"/>
    <xf numFmtId="2" fontId="0" fillId="2" borderId="2" xfId="1" applyNumberFormat="1" applyFont="1" applyFill="1" applyBorder="1"/>
    <xf numFmtId="164" fontId="0" fillId="0" borderId="0" xfId="1" applyNumberFormat="1" applyFont="1" applyFill="1" applyBorder="1"/>
    <xf numFmtId="0" fontId="0" fillId="0" borderId="3" xfId="1" applyNumberFormat="1" applyFont="1" applyFill="1" applyBorder="1"/>
    <xf numFmtId="3" fontId="0" fillId="0" borderId="3" xfId="1" applyNumberFormat="1" applyFont="1" applyFill="1" applyBorder="1"/>
    <xf numFmtId="0" fontId="0" fillId="2" borderId="1" xfId="1" applyNumberFormat="1" applyFont="1" applyFill="1" applyBorder="1"/>
    <xf numFmtId="0" fontId="0" fillId="0" borderId="1" xfId="1" applyNumberFormat="1" applyFont="1" applyFill="1" applyBorder="1"/>
    <xf numFmtId="164" fontId="0" fillId="2" borderId="2" xfId="1" applyNumberFormat="1" applyFont="1" applyFill="1" applyBorder="1"/>
    <xf numFmtId="0" fontId="0" fillId="2" borderId="2" xfId="1" applyNumberFormat="1" applyFont="1" applyFill="1" applyBorder="1"/>
    <xf numFmtId="3" fontId="0" fillId="2" borderId="2" xfId="1" applyNumberFormat="1" applyFont="1" applyFill="1" applyBorder="1"/>
    <xf numFmtId="11" fontId="0" fillId="0" borderId="3" xfId="1" applyNumberFormat="1" applyFont="1" applyFill="1" applyBorder="1"/>
    <xf numFmtId="11" fontId="0" fillId="2" borderId="1" xfId="1" applyNumberFormat="1" applyFont="1" applyFill="1" applyBorder="1"/>
    <xf numFmtId="11" fontId="0" fillId="0" borderId="1" xfId="1" applyNumberFormat="1" applyFont="1" applyFill="1" applyBorder="1"/>
    <xf numFmtId="0" fontId="0" fillId="0" borderId="6" xfId="1" applyFont="1" applyFill="1" applyBorder="1" applyAlignment="1">
      <alignment horizontal="left"/>
    </xf>
    <xf numFmtId="11" fontId="0" fillId="0" borderId="2" xfId="1" applyNumberFormat="1" applyFont="1" applyFill="1" applyBorder="1"/>
    <xf numFmtId="0" fontId="7" fillId="0" borderId="10" xfId="3" applyFont="1" applyBorder="1"/>
    <xf numFmtId="0" fontId="7" fillId="0" borderId="6" xfId="3" applyFont="1" applyBorder="1"/>
    <xf numFmtId="11" fontId="0" fillId="0" borderId="29" xfId="1" applyNumberFormat="1" applyFont="1" applyFill="1" applyBorder="1"/>
    <xf numFmtId="11" fontId="0" fillId="0" borderId="34" xfId="1" applyNumberFormat="1" applyFont="1" applyFill="1" applyBorder="1"/>
    <xf numFmtId="11" fontId="0" fillId="2" borderId="26" xfId="1" applyNumberFormat="1" applyFont="1" applyFill="1" applyBorder="1"/>
    <xf numFmtId="11" fontId="0" fillId="2" borderId="33" xfId="1" applyNumberFormat="1" applyFont="1" applyFill="1" applyBorder="1"/>
    <xf numFmtId="11" fontId="0" fillId="0" borderId="26" xfId="1" applyNumberFormat="1" applyFont="1" applyFill="1" applyBorder="1"/>
    <xf numFmtId="11" fontId="0" fillId="0" borderId="33" xfId="1" applyNumberFormat="1" applyFont="1" applyFill="1" applyBorder="1"/>
    <xf numFmtId="11" fontId="0" fillId="0" borderId="25" xfId="1" applyNumberFormat="1" applyFont="1" applyFill="1" applyBorder="1"/>
    <xf numFmtId="11" fontId="0" fillId="0" borderId="32" xfId="1" applyNumberFormat="1" applyFont="1" applyFill="1" applyBorder="1"/>
    <xf numFmtId="0" fontId="2" fillId="6" borderId="0" xfId="1" applyFill="1"/>
    <xf numFmtId="0" fontId="2" fillId="6" borderId="27" xfId="1" applyFill="1" applyBorder="1"/>
    <xf numFmtId="0" fontId="2" fillId="6" borderId="28" xfId="1" applyFill="1" applyBorder="1"/>
    <xf numFmtId="3" fontId="2" fillId="6" borderId="0" xfId="1" applyNumberFormat="1" applyFill="1"/>
    <xf numFmtId="11" fontId="2" fillId="6" borderId="0" xfId="1" applyNumberFormat="1" applyFill="1"/>
    <xf numFmtId="3" fontId="0" fillId="3" borderId="1" xfId="1" applyNumberFormat="1" applyFont="1" applyFill="1" applyBorder="1" applyProtection="1">
      <protection locked="0"/>
    </xf>
    <xf numFmtId="3" fontId="0" fillId="3" borderId="22" xfId="1" applyNumberFormat="1" applyFont="1" applyFill="1" applyBorder="1" applyProtection="1">
      <protection locked="0"/>
    </xf>
    <xf numFmtId="3" fontId="0" fillId="3" borderId="2" xfId="1" applyNumberFormat="1" applyFont="1" applyFill="1" applyBorder="1" applyProtection="1">
      <protection locked="0"/>
    </xf>
    <xf numFmtId="0" fontId="7" fillId="3" borderId="3" xfId="3" applyFont="1" applyFill="1" applyBorder="1" applyProtection="1">
      <protection locked="0"/>
    </xf>
    <xf numFmtId="0" fontId="7" fillId="3" borderId="1" xfId="3" applyFont="1" applyFill="1" applyBorder="1" applyProtection="1">
      <protection locked="0"/>
    </xf>
    <xf numFmtId="0" fontId="0" fillId="0" borderId="11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  <xf numFmtId="0" fontId="0" fillId="0" borderId="9" xfId="1" applyFont="1" applyFill="1" applyBorder="1" applyAlignment="1">
      <alignment horizontal="center" vertical="center" wrapText="1"/>
    </xf>
    <xf numFmtId="0" fontId="0" fillId="0" borderId="13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17" xfId="1" applyFont="1" applyFill="1" applyBorder="1" applyAlignment="1">
      <alignment horizontal="center" vertical="center" wrapText="1"/>
    </xf>
    <xf numFmtId="0" fontId="0" fillId="0" borderId="24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0" fillId="0" borderId="15" xfId="1" applyFont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47625</xdr:colOff>
      <xdr:row>84</xdr:row>
      <xdr:rowOff>38100</xdr:rowOff>
    </xdr:from>
    <xdr:ext cx="6334126" cy="571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886575" y="15792450"/>
              <a:ext cx="6334126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𝐸𝐹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</a:rPr>
                              <m:t>𝑙𝑏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/>
                              </a:rPr>
                              <m:t>𝑀𝑀𝐵𝑡𝑢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𝐶𝑜𝑛𝑐𝑒𝑛𝑡𝑟𝑎𝑡𝑖𝑜𝑛</m:t>
                        </m:r>
                        <m:r>
                          <a:rPr lang="en-US" sz="1100" b="0" i="1">
                            <a:latin typeface="Cambria Math"/>
                          </a:rPr>
                          <m:t> (</m:t>
                        </m:r>
                        <m:r>
                          <a:rPr lang="en-US" sz="1100" b="0" i="1">
                            <a:latin typeface="Cambria Math"/>
                          </a:rPr>
                          <m:t>𝑝𝑝𝑚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1,000,000 (</m:t>
                        </m:r>
                        <m:r>
                          <a:rPr lang="en-US" sz="1100" b="0" i="1">
                            <a:latin typeface="Cambria Math"/>
                          </a:rPr>
                          <m:t>𝑝𝑝𝑚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den>
                    </m:f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20.9%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20.9%−3%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8,710 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𝑑𝑠𝑐𝑓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𝑀𝑀𝐵𝑡𝑢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𝑀𝑊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𝑙𝑏</m:t>
                            </m:r>
                          </m:num>
                          <m:den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𝑙𝑏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𝑚𝑜𝑙𝑒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/>
                        <a:ea typeface="Cambria Math"/>
                      </a:rPr>
                      <m:t>×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1 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𝑙𝑏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𝑚𝑜𝑙𝑒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385.44 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𝑓𝑡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886575" y="15792450"/>
              <a:ext cx="6334126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𝐸𝐹(𝑙𝑏/𝑀𝑀𝐵𝑡𝑢)=(𝐶𝑜𝑛𝑐𝑒𝑛𝑡𝑟𝑎𝑡𝑖𝑜𝑛 (𝑝𝑝𝑚))/(1,000,000 (𝑝𝑝𝑚))  (20.9%)/(20.9%−3%)</a:t>
              </a:r>
              <a:r>
                <a:rPr lang="en-US" sz="1100" b="0" i="0">
                  <a:latin typeface="Cambria Math"/>
                  <a:ea typeface="Cambria Math"/>
                </a:rPr>
                <a:t>×(8,710 𝑑𝑠𝑐𝑓)/𝑀𝑀𝐵𝑡𝑢×𝑀𝑊(𝑙𝑏/(𝑙𝑏−𝑚𝑜𝑙𝑒))×(1 𝑙𝑏−𝑚𝑜𝑙𝑒)/(385.44 〖𝑓𝑡〗^3 )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3.85546875" style="1" bestFit="1" customWidth="1"/>
    <col min="3" max="3" width="11.85546875" style="1" bestFit="1" customWidth="1"/>
    <col min="4" max="4" width="10.5703125" style="1" bestFit="1" customWidth="1"/>
    <col min="5" max="5" width="10.42578125" style="1" bestFit="1" customWidth="1"/>
    <col min="6" max="6" width="18.28515625" style="1" bestFit="1" customWidth="1"/>
    <col min="7" max="7" width="9.28515625" style="1" bestFit="1" customWidth="1"/>
    <col min="8" max="8" width="9.28515625" style="1" hidden="1" customWidth="1"/>
    <col min="9" max="9" width="14.28515625" style="1" hidden="1" customWidth="1"/>
    <col min="10" max="10" width="39.28515625" style="1" hidden="1" customWidth="1"/>
    <col min="11" max="11" width="10.42578125" style="1" hidden="1" customWidth="1"/>
    <col min="12" max="12" width="9.42578125" style="1" hidden="1" customWidth="1"/>
    <col min="13" max="13" width="8.42578125" style="1" hidden="1" customWidth="1"/>
    <col min="14" max="14" width="9" style="1" hidden="1" customWidth="1"/>
    <col min="15" max="15" width="0" style="1" hidden="1" customWidth="1"/>
    <col min="16" max="16384" width="8.85546875" style="1"/>
  </cols>
  <sheetData>
    <row r="1" spans="1:15" ht="21" thickBot="1" x14ac:dyDescent="0.35">
      <c r="A1" s="97" t="s">
        <v>46</v>
      </c>
      <c r="B1" s="97"/>
      <c r="C1" s="97"/>
      <c r="D1" s="97"/>
      <c r="E1" s="97"/>
      <c r="F1" s="97"/>
      <c r="J1" s="21" t="s">
        <v>108</v>
      </c>
      <c r="K1" s="22">
        <v>1020</v>
      </c>
      <c r="L1" s="21" t="s">
        <v>82</v>
      </c>
    </row>
    <row r="2" spans="1:15" x14ac:dyDescent="0.2">
      <c r="A2" s="12" t="s">
        <v>45</v>
      </c>
      <c r="B2" s="13"/>
      <c r="C2" s="14"/>
      <c r="D2" s="21"/>
      <c r="E2" s="21"/>
      <c r="F2" s="21"/>
    </row>
    <row r="3" spans="1:15" ht="15" customHeight="1" thickBot="1" x14ac:dyDescent="0.25">
      <c r="A3" s="49" t="s">
        <v>2</v>
      </c>
      <c r="B3" s="87">
        <v>25</v>
      </c>
      <c r="C3" s="7" t="s">
        <v>62</v>
      </c>
      <c r="D3" s="21"/>
      <c r="E3" s="21"/>
      <c r="F3" s="21"/>
      <c r="H3" s="35" t="s">
        <v>69</v>
      </c>
      <c r="I3" s="35" t="s">
        <v>71</v>
      </c>
      <c r="J3" s="35" t="s">
        <v>64</v>
      </c>
      <c r="K3" s="35" t="s">
        <v>78</v>
      </c>
      <c r="L3" s="35" t="s">
        <v>79</v>
      </c>
      <c r="M3" s="35" t="s">
        <v>80</v>
      </c>
      <c r="N3" s="35" t="s">
        <v>81</v>
      </c>
      <c r="O3" s="35" t="s">
        <v>100</v>
      </c>
    </row>
    <row r="4" spans="1:15" ht="13.5" customHeight="1" x14ac:dyDescent="0.2">
      <c r="A4" s="72" t="s">
        <v>0</v>
      </c>
      <c r="B4" s="88">
        <v>8760</v>
      </c>
      <c r="C4" s="7" t="s">
        <v>1</v>
      </c>
      <c r="D4" s="21"/>
      <c r="E4" s="21"/>
      <c r="F4" s="21"/>
      <c r="H4" s="26"/>
      <c r="I4" s="24" t="s">
        <v>72</v>
      </c>
      <c r="J4" s="24" t="s">
        <v>66</v>
      </c>
      <c r="K4" s="82">
        <v>280</v>
      </c>
      <c r="L4" s="27">
        <f>$K4/$K$1</f>
        <v>0.27450980392156865</v>
      </c>
      <c r="M4" s="28">
        <f>$L4*$B$3</f>
        <v>6.8627450980392162</v>
      </c>
      <c r="N4" s="28">
        <f>$M4*$B$4/2000</f>
        <v>30.058823529411764</v>
      </c>
      <c r="O4" s="26" t="str">
        <f>IF($E$8=N4,"Match","")</f>
        <v/>
      </c>
    </row>
    <row r="5" spans="1:15" ht="13.5" customHeight="1" thickBot="1" x14ac:dyDescent="0.25">
      <c r="A5" s="73" t="s">
        <v>107</v>
      </c>
      <c r="B5" s="89" t="s">
        <v>63</v>
      </c>
      <c r="C5" s="3"/>
      <c r="D5" s="21"/>
      <c r="E5" s="21"/>
      <c r="F5" s="21"/>
      <c r="H5" s="26"/>
      <c r="I5" s="24" t="s">
        <v>72</v>
      </c>
      <c r="J5" s="24" t="s">
        <v>67</v>
      </c>
      <c r="K5" s="82">
        <v>190</v>
      </c>
      <c r="L5" s="27">
        <f t="shared" ref="L5:L12" si="0">$K5/$K$1</f>
        <v>0.18627450980392157</v>
      </c>
      <c r="M5" s="28">
        <f t="shared" ref="M5:M12" si="1">$L5*$B$3</f>
        <v>4.6568627450980395</v>
      </c>
      <c r="N5" s="28">
        <f t="shared" ref="N5:N12" si="2">$M5*$B$4/2000</f>
        <v>20.397058823529413</v>
      </c>
      <c r="O5" s="26" t="str">
        <f t="shared" ref="O5:O12" si="3">IF($E$8=N5,"Match","")</f>
        <v/>
      </c>
    </row>
    <row r="6" spans="1:15" ht="13.5" thickBot="1" x14ac:dyDescent="0.25">
      <c r="A6" s="48"/>
      <c r="B6" s="48"/>
      <c r="C6" s="48"/>
      <c r="D6" s="48"/>
      <c r="E6" s="46"/>
      <c r="F6" s="46"/>
      <c r="H6" s="26"/>
      <c r="I6" s="24" t="s">
        <v>72</v>
      </c>
      <c r="J6" s="24" t="s">
        <v>70</v>
      </c>
      <c r="K6" s="82">
        <v>140</v>
      </c>
      <c r="L6" s="27">
        <f t="shared" si="0"/>
        <v>0.13725490196078433</v>
      </c>
      <c r="M6" s="28">
        <f t="shared" si="1"/>
        <v>3.4313725490196081</v>
      </c>
      <c r="N6" s="28">
        <f t="shared" si="2"/>
        <v>15.029411764705882</v>
      </c>
      <c r="O6" s="26" t="str">
        <f t="shared" si="3"/>
        <v/>
      </c>
    </row>
    <row r="7" spans="1:15" ht="42.75" customHeight="1" thickBot="1" x14ac:dyDescent="0.25">
      <c r="A7" s="15" t="s">
        <v>43</v>
      </c>
      <c r="B7" s="16" t="s">
        <v>51</v>
      </c>
      <c r="C7" s="16" t="s">
        <v>52</v>
      </c>
      <c r="D7" s="16" t="s">
        <v>53</v>
      </c>
      <c r="E7" s="16" t="s">
        <v>54</v>
      </c>
      <c r="F7" s="17" t="s">
        <v>47</v>
      </c>
      <c r="H7" s="37"/>
      <c r="I7" s="38" t="s">
        <v>72</v>
      </c>
      <c r="J7" s="38" t="s">
        <v>75</v>
      </c>
      <c r="K7" s="83">
        <v>100</v>
      </c>
      <c r="L7" s="39">
        <f t="shared" si="0"/>
        <v>9.8039215686274508E-2</v>
      </c>
      <c r="M7" s="40">
        <f t="shared" si="1"/>
        <v>2.4509803921568629</v>
      </c>
      <c r="N7" s="40">
        <f t="shared" si="2"/>
        <v>10.73529411764706</v>
      </c>
      <c r="O7" s="37" t="str">
        <f t="shared" si="3"/>
        <v>Match</v>
      </c>
    </row>
    <row r="8" spans="1:15" ht="15.75" customHeight="1" x14ac:dyDescent="0.3">
      <c r="A8" s="4" t="s">
        <v>3</v>
      </c>
      <c r="B8" s="90"/>
      <c r="C8" s="50">
        <f>IF(B8&gt;0,"",IF($B$5="Tangential",K11,IF($B$3&gt;100,$K$5,$K$8)))</f>
        <v>100</v>
      </c>
      <c r="D8" s="51">
        <f>IF(B8&gt;0,(B8/1000000)*(20.9/(20.9-3))*8710*$K90/385.44*$B$3,$C8/$K$1*$B$3)</f>
        <v>2.4509803921568629</v>
      </c>
      <c r="E8" s="51">
        <f t="shared" ref="E8:E15" si="4">D8*$B$4/2000</f>
        <v>10.73529411764706</v>
      </c>
      <c r="F8" s="94" t="s">
        <v>48</v>
      </c>
      <c r="H8" s="41"/>
      <c r="I8" s="42" t="s">
        <v>73</v>
      </c>
      <c r="J8" s="42" t="s">
        <v>65</v>
      </c>
      <c r="K8" s="84">
        <v>100</v>
      </c>
      <c r="L8" s="43">
        <f t="shared" si="0"/>
        <v>9.8039215686274508E-2</v>
      </c>
      <c r="M8" s="44">
        <f t="shared" si="1"/>
        <v>2.4509803921568629</v>
      </c>
      <c r="N8" s="44">
        <f t="shared" si="2"/>
        <v>10.73529411764706</v>
      </c>
      <c r="O8" s="41" t="str">
        <f t="shared" si="3"/>
        <v>Match</v>
      </c>
    </row>
    <row r="9" spans="1:15" x14ac:dyDescent="0.2">
      <c r="A9" s="5" t="s">
        <v>4</v>
      </c>
      <c r="B9" s="91"/>
      <c r="C9" s="52">
        <f>IF(B9&gt;0,"",IF($B$5="Tangential",K22,IF($B$3&gt;100,$K$16,$K$19)))</f>
        <v>84</v>
      </c>
      <c r="D9" s="53">
        <f>IF(B9&gt;0,(B9/1000000)*(20.9/(20.9-3))*8710*$K91/385.44*$B$3,$C9/$K$1*$B$3)</f>
        <v>2.0588235294117645</v>
      </c>
      <c r="E9" s="53">
        <f t="shared" si="4"/>
        <v>9.0176470588235276</v>
      </c>
      <c r="F9" s="95"/>
      <c r="H9" s="26"/>
      <c r="I9" s="24" t="s">
        <v>73</v>
      </c>
      <c r="J9" s="24" t="s">
        <v>70</v>
      </c>
      <c r="K9" s="82">
        <v>50</v>
      </c>
      <c r="L9" s="27">
        <f t="shared" si="0"/>
        <v>4.9019607843137254E-2</v>
      </c>
      <c r="M9" s="28">
        <f t="shared" si="1"/>
        <v>1.2254901960784315</v>
      </c>
      <c r="N9" s="28">
        <f t="shared" si="2"/>
        <v>5.3676470588235299</v>
      </c>
      <c r="O9" s="26" t="str">
        <f t="shared" si="3"/>
        <v/>
      </c>
    </row>
    <row r="10" spans="1:15" ht="15.75" customHeight="1" x14ac:dyDescent="0.3">
      <c r="A10" s="8" t="s">
        <v>5</v>
      </c>
      <c r="B10" s="51"/>
      <c r="C10" s="54">
        <f>K30</f>
        <v>7.6</v>
      </c>
      <c r="D10" s="55">
        <f t="shared" ref="D10:D14" si="5">C10*$B$3/$K$1</f>
        <v>0.18627450980392157</v>
      </c>
      <c r="E10" s="55">
        <f t="shared" si="4"/>
        <v>0.8158823529411765</v>
      </c>
      <c r="F10" s="96" t="s">
        <v>60</v>
      </c>
      <c r="H10" s="37"/>
      <c r="I10" s="38" t="s">
        <v>73</v>
      </c>
      <c r="J10" s="38" t="s">
        <v>74</v>
      </c>
      <c r="K10" s="83">
        <v>32</v>
      </c>
      <c r="L10" s="39">
        <f t="shared" si="0"/>
        <v>3.1372549019607843E-2</v>
      </c>
      <c r="M10" s="40">
        <f t="shared" si="1"/>
        <v>0.78431372549019607</v>
      </c>
      <c r="N10" s="40">
        <f t="shared" si="2"/>
        <v>3.4352941176470586</v>
      </c>
      <c r="O10" s="37" t="str">
        <f t="shared" si="3"/>
        <v/>
      </c>
    </row>
    <row r="11" spans="1:15" ht="15.75" x14ac:dyDescent="0.3">
      <c r="A11" s="5" t="s">
        <v>6</v>
      </c>
      <c r="B11" s="53"/>
      <c r="C11" s="56">
        <f>K30</f>
        <v>7.6</v>
      </c>
      <c r="D11" s="53">
        <f t="shared" si="5"/>
        <v>0.18627450980392157</v>
      </c>
      <c r="E11" s="53">
        <f t="shared" si="4"/>
        <v>0.8158823529411765</v>
      </c>
      <c r="F11" s="94"/>
      <c r="H11" s="41"/>
      <c r="I11" s="42" t="s">
        <v>76</v>
      </c>
      <c r="J11" s="42" t="s">
        <v>65</v>
      </c>
      <c r="K11" s="84">
        <v>170</v>
      </c>
      <c r="L11" s="43">
        <f t="shared" si="0"/>
        <v>0.16666666666666666</v>
      </c>
      <c r="M11" s="44">
        <f t="shared" si="1"/>
        <v>4.1666666666666661</v>
      </c>
      <c r="N11" s="44">
        <f t="shared" si="2"/>
        <v>18.249999999999996</v>
      </c>
      <c r="O11" s="41" t="str">
        <f t="shared" si="3"/>
        <v/>
      </c>
    </row>
    <row r="12" spans="1:15" ht="15.75" x14ac:dyDescent="0.3">
      <c r="A12" s="8" t="s">
        <v>7</v>
      </c>
      <c r="B12" s="55"/>
      <c r="C12" s="54">
        <f>K33</f>
        <v>0.6</v>
      </c>
      <c r="D12" s="55">
        <f t="shared" si="5"/>
        <v>1.4705882352941176E-2</v>
      </c>
      <c r="E12" s="55">
        <f t="shared" si="4"/>
        <v>6.4411764705882349E-2</v>
      </c>
      <c r="F12" s="94"/>
      <c r="H12" s="26"/>
      <c r="I12" s="24" t="s">
        <v>76</v>
      </c>
      <c r="J12" s="24" t="s">
        <v>77</v>
      </c>
      <c r="K12" s="82">
        <v>76</v>
      </c>
      <c r="L12" s="27">
        <f t="shared" si="0"/>
        <v>7.4509803921568626E-2</v>
      </c>
      <c r="M12" s="28">
        <f t="shared" si="1"/>
        <v>1.8627450980392157</v>
      </c>
      <c r="N12" s="28">
        <f t="shared" si="2"/>
        <v>8.1588235294117641</v>
      </c>
      <c r="O12" s="26" t="str">
        <f t="shared" si="3"/>
        <v/>
      </c>
    </row>
    <row r="13" spans="1:15" x14ac:dyDescent="0.2">
      <c r="A13" s="5" t="s">
        <v>8</v>
      </c>
      <c r="B13" s="53"/>
      <c r="C13" s="56">
        <f>K36</f>
        <v>5.5</v>
      </c>
      <c r="D13" s="53">
        <f t="shared" si="5"/>
        <v>0.13480392156862744</v>
      </c>
      <c r="E13" s="53">
        <f t="shared" si="4"/>
        <v>0.59044117647058814</v>
      </c>
      <c r="F13" s="94"/>
      <c r="H13" s="26"/>
      <c r="I13" s="26"/>
      <c r="J13" s="26"/>
      <c r="K13" s="26"/>
      <c r="L13" s="26"/>
      <c r="M13" s="26"/>
      <c r="N13" s="26"/>
      <c r="O13" s="26"/>
    </row>
    <row r="14" spans="1:15" ht="13.5" thickBot="1" x14ac:dyDescent="0.25">
      <c r="A14" s="8" t="s">
        <v>9</v>
      </c>
      <c r="B14" s="55"/>
      <c r="C14" s="54">
        <f>K27</f>
        <v>5.0000000000000001E-4</v>
      </c>
      <c r="D14" s="55">
        <f t="shared" si="5"/>
        <v>1.2254901960784315E-5</v>
      </c>
      <c r="E14" s="55">
        <f t="shared" si="4"/>
        <v>5.3676470588235296E-5</v>
      </c>
      <c r="F14" s="94"/>
      <c r="H14" s="36" t="s">
        <v>4</v>
      </c>
      <c r="I14" s="36" t="s">
        <v>71</v>
      </c>
      <c r="J14" s="36" t="s">
        <v>64</v>
      </c>
      <c r="K14" s="36" t="s">
        <v>78</v>
      </c>
      <c r="L14" s="36" t="s">
        <v>79</v>
      </c>
      <c r="M14" s="36" t="s">
        <v>80</v>
      </c>
      <c r="N14" s="36" t="s">
        <v>81</v>
      </c>
      <c r="O14" s="35" t="s">
        <v>100</v>
      </c>
    </row>
    <row r="15" spans="1:15" ht="13.5" thickBot="1" x14ac:dyDescent="0.25">
      <c r="A15" s="9" t="s">
        <v>56</v>
      </c>
      <c r="B15" s="57"/>
      <c r="C15" s="57"/>
      <c r="D15" s="58">
        <f>SUM(D24:D56)+D14</f>
        <v>4.628574019607843E-2</v>
      </c>
      <c r="E15" s="58">
        <f t="shared" si="4"/>
        <v>0.20273154205882352</v>
      </c>
      <c r="F15" s="10" t="s">
        <v>58</v>
      </c>
      <c r="H15" s="26"/>
      <c r="I15" s="24" t="s">
        <v>72</v>
      </c>
      <c r="J15" s="24" t="s">
        <v>66</v>
      </c>
      <c r="K15" s="82">
        <v>84</v>
      </c>
      <c r="L15" s="27">
        <f t="shared" ref="L15:L23" si="6">$K15/$K$1</f>
        <v>8.2352941176470587E-2</v>
      </c>
      <c r="M15" s="28">
        <f t="shared" ref="M15:M23" si="7">$L15*$B$3</f>
        <v>2.0588235294117645</v>
      </c>
      <c r="N15" s="28">
        <f t="shared" ref="N15:N23" si="8">$M15*$B$4/2000</f>
        <v>9.0176470588235276</v>
      </c>
      <c r="O15" s="26" t="str">
        <f t="shared" ref="O15:O23" si="9">IF($E$9=N15,"Match","")</f>
        <v>Match</v>
      </c>
    </row>
    <row r="16" spans="1:15" ht="13.5" thickBot="1" x14ac:dyDescent="0.25">
      <c r="A16" s="2"/>
      <c r="B16" s="2"/>
      <c r="C16" s="45"/>
      <c r="D16" s="59"/>
      <c r="E16" s="59"/>
      <c r="F16" s="47"/>
      <c r="H16" s="26"/>
      <c r="I16" s="24" t="s">
        <v>72</v>
      </c>
      <c r="J16" s="24" t="s">
        <v>67</v>
      </c>
      <c r="K16" s="82">
        <v>84</v>
      </c>
      <c r="L16" s="27">
        <f t="shared" si="6"/>
        <v>8.2352941176470587E-2</v>
      </c>
      <c r="M16" s="28">
        <f t="shared" si="7"/>
        <v>2.0588235294117645</v>
      </c>
      <c r="N16" s="28">
        <f t="shared" si="8"/>
        <v>9.0176470588235276</v>
      </c>
      <c r="O16" s="26" t="str">
        <f t="shared" si="9"/>
        <v>Match</v>
      </c>
    </row>
    <row r="17" spans="1:15" ht="42.75" customHeight="1" thickBot="1" x14ac:dyDescent="0.25">
      <c r="A17" s="15" t="s">
        <v>55</v>
      </c>
      <c r="B17" s="16" t="s">
        <v>49</v>
      </c>
      <c r="C17" s="16" t="s">
        <v>52</v>
      </c>
      <c r="D17" s="16" t="s">
        <v>53</v>
      </c>
      <c r="E17" s="16" t="s">
        <v>54</v>
      </c>
      <c r="F17" s="17" t="s">
        <v>47</v>
      </c>
      <c r="H17" s="26"/>
      <c r="I17" s="24" t="s">
        <v>72</v>
      </c>
      <c r="J17" s="24" t="s">
        <v>70</v>
      </c>
      <c r="K17" s="82">
        <v>84</v>
      </c>
      <c r="L17" s="27">
        <f t="shared" si="6"/>
        <v>8.2352941176470587E-2</v>
      </c>
      <c r="M17" s="28">
        <f t="shared" si="7"/>
        <v>2.0588235294117645</v>
      </c>
      <c r="N17" s="28">
        <f t="shared" si="8"/>
        <v>9.0176470588235276</v>
      </c>
      <c r="O17" s="26" t="str">
        <f t="shared" si="9"/>
        <v>Match</v>
      </c>
    </row>
    <row r="18" spans="1:15" ht="15.75" x14ac:dyDescent="0.3">
      <c r="A18" s="4" t="s">
        <v>109</v>
      </c>
      <c r="B18" s="60">
        <v>1</v>
      </c>
      <c r="C18" s="61">
        <f>K26</f>
        <v>120000</v>
      </c>
      <c r="D18" s="61">
        <f t="shared" ref="D18:D20" si="10">C18*$B$3/$K$1</f>
        <v>2941.1764705882351</v>
      </c>
      <c r="E18" s="61">
        <f>D18*$B$4/2000</f>
        <v>12882.35294117647</v>
      </c>
      <c r="F18" s="98" t="s">
        <v>61</v>
      </c>
      <c r="H18" s="37"/>
      <c r="I18" s="38" t="s">
        <v>72</v>
      </c>
      <c r="J18" s="38" t="s">
        <v>75</v>
      </c>
      <c r="K18" s="83">
        <v>84</v>
      </c>
      <c r="L18" s="39">
        <f t="shared" si="6"/>
        <v>8.2352941176470587E-2</v>
      </c>
      <c r="M18" s="40">
        <f t="shared" si="7"/>
        <v>2.0588235294117645</v>
      </c>
      <c r="N18" s="40">
        <f t="shared" si="8"/>
        <v>9.0176470588235276</v>
      </c>
      <c r="O18" s="37" t="str">
        <f t="shared" si="9"/>
        <v>Match</v>
      </c>
    </row>
    <row r="19" spans="1:15" x14ac:dyDescent="0.2">
      <c r="A19" s="5" t="s">
        <v>50</v>
      </c>
      <c r="B19" s="62">
        <v>25</v>
      </c>
      <c r="C19" s="62">
        <f>K35</f>
        <v>2.2999999999999998</v>
      </c>
      <c r="D19" s="53">
        <f t="shared" si="10"/>
        <v>5.6372549019607837E-2</v>
      </c>
      <c r="E19" s="53">
        <f>D19*$B$4/2000</f>
        <v>0.24691176470588233</v>
      </c>
      <c r="F19" s="94"/>
      <c r="H19" s="41"/>
      <c r="I19" s="42" t="s">
        <v>73</v>
      </c>
      <c r="J19" s="42" t="s">
        <v>65</v>
      </c>
      <c r="K19" s="84">
        <v>84</v>
      </c>
      <c r="L19" s="43">
        <f t="shared" si="6"/>
        <v>8.2352941176470587E-2</v>
      </c>
      <c r="M19" s="44">
        <f t="shared" si="7"/>
        <v>2.0588235294117645</v>
      </c>
      <c r="N19" s="44">
        <f t="shared" si="8"/>
        <v>9.0176470588235276</v>
      </c>
      <c r="O19" s="41" t="str">
        <f t="shared" si="9"/>
        <v>Match</v>
      </c>
    </row>
    <row r="20" spans="1:15" ht="15.75" x14ac:dyDescent="0.3">
      <c r="A20" s="8" t="s">
        <v>110</v>
      </c>
      <c r="B20" s="63">
        <v>298</v>
      </c>
      <c r="C20" s="63">
        <f>K28</f>
        <v>2.2000000000000002</v>
      </c>
      <c r="D20" s="55">
        <f t="shared" si="10"/>
        <v>5.392156862745099E-2</v>
      </c>
      <c r="E20" s="55">
        <f>D20*$B$4/2000</f>
        <v>0.23617647058823532</v>
      </c>
      <c r="F20" s="99"/>
      <c r="H20" s="26"/>
      <c r="I20" s="24" t="s">
        <v>73</v>
      </c>
      <c r="J20" s="24" t="s">
        <v>70</v>
      </c>
      <c r="K20" s="82">
        <v>84</v>
      </c>
      <c r="L20" s="27">
        <f t="shared" si="6"/>
        <v>8.2352941176470587E-2</v>
      </c>
      <c r="M20" s="28">
        <f t="shared" si="7"/>
        <v>2.0588235294117645</v>
      </c>
      <c r="N20" s="28">
        <f t="shared" si="8"/>
        <v>9.0176470588235276</v>
      </c>
      <c r="O20" s="26" t="str">
        <f t="shared" si="9"/>
        <v>Match</v>
      </c>
    </row>
    <row r="21" spans="1:15" ht="16.5" thickBot="1" x14ac:dyDescent="0.35">
      <c r="A21" s="9" t="s">
        <v>111</v>
      </c>
      <c r="B21" s="64"/>
      <c r="C21" s="65"/>
      <c r="D21" s="66"/>
      <c r="E21" s="66">
        <f>(D18*B18+D19*B19+D20*B20)*$B$4/2000</f>
        <v>12958.906323529411</v>
      </c>
      <c r="F21" s="100"/>
      <c r="H21" s="37"/>
      <c r="I21" s="38" t="s">
        <v>73</v>
      </c>
      <c r="J21" s="38" t="s">
        <v>74</v>
      </c>
      <c r="K21" s="83">
        <v>84</v>
      </c>
      <c r="L21" s="39">
        <f t="shared" si="6"/>
        <v>8.2352941176470587E-2</v>
      </c>
      <c r="M21" s="40">
        <f t="shared" si="7"/>
        <v>2.0588235294117645</v>
      </c>
      <c r="N21" s="40">
        <f t="shared" si="8"/>
        <v>9.0176470588235276</v>
      </c>
      <c r="O21" s="37" t="str">
        <f t="shared" si="9"/>
        <v>Match</v>
      </c>
    </row>
    <row r="22" spans="1:15" ht="13.5" thickBot="1" x14ac:dyDescent="0.25">
      <c r="A22" s="45"/>
      <c r="B22" s="45"/>
      <c r="C22" s="45"/>
      <c r="D22" s="45"/>
      <c r="E22" s="45"/>
      <c r="F22" s="47"/>
      <c r="H22" s="41"/>
      <c r="I22" s="42" t="s">
        <v>76</v>
      </c>
      <c r="J22" s="42" t="s">
        <v>65</v>
      </c>
      <c r="K22" s="84">
        <v>24</v>
      </c>
      <c r="L22" s="43">
        <f t="shared" si="6"/>
        <v>2.3529411764705882E-2</v>
      </c>
      <c r="M22" s="44">
        <f t="shared" si="7"/>
        <v>0.58823529411764708</v>
      </c>
      <c r="N22" s="44">
        <f t="shared" si="8"/>
        <v>2.5764705882352943</v>
      </c>
      <c r="O22" s="41" t="str">
        <f t="shared" si="9"/>
        <v/>
      </c>
    </row>
    <row r="23" spans="1:15" ht="42.75" customHeight="1" thickBot="1" x14ac:dyDescent="0.25">
      <c r="A23" s="15" t="s">
        <v>57</v>
      </c>
      <c r="B23" s="102" t="s">
        <v>52</v>
      </c>
      <c r="C23" s="103"/>
      <c r="D23" s="16" t="s">
        <v>53</v>
      </c>
      <c r="E23" s="16" t="s">
        <v>54</v>
      </c>
      <c r="F23" s="17" t="s">
        <v>47</v>
      </c>
      <c r="H23" s="26"/>
      <c r="I23" s="24" t="s">
        <v>76</v>
      </c>
      <c r="J23" s="24" t="s">
        <v>77</v>
      </c>
      <c r="K23" s="82">
        <v>98</v>
      </c>
      <c r="L23" s="27">
        <f t="shared" si="6"/>
        <v>9.6078431372549025E-2</v>
      </c>
      <c r="M23" s="28">
        <f t="shared" si="7"/>
        <v>2.4019607843137258</v>
      </c>
      <c r="N23" s="28">
        <f t="shared" si="8"/>
        <v>10.520588235294118</v>
      </c>
      <c r="O23" s="26" t="str">
        <f t="shared" si="9"/>
        <v/>
      </c>
    </row>
    <row r="24" spans="1:15" x14ac:dyDescent="0.2">
      <c r="A24" s="20" t="s">
        <v>10</v>
      </c>
      <c r="B24" s="74"/>
      <c r="C24" s="75">
        <f>K45</f>
        <v>2.4000000000000001E-5</v>
      </c>
      <c r="D24" s="67">
        <f>C24*$B$3/$K$1</f>
        <v>5.8823529411764711E-7</v>
      </c>
      <c r="E24" s="67">
        <f t="shared" ref="E24:E56" si="11">D24*$B$4/2000</f>
        <v>2.5764705882352942E-6</v>
      </c>
      <c r="F24" s="101" t="s">
        <v>44</v>
      </c>
      <c r="H24" s="26"/>
      <c r="I24" s="26"/>
      <c r="J24" s="26"/>
      <c r="K24" s="26"/>
      <c r="L24" s="26"/>
      <c r="M24" s="26"/>
      <c r="N24" s="26"/>
      <c r="O24" s="26"/>
    </row>
    <row r="25" spans="1:15" ht="13.5" thickBot="1" x14ac:dyDescent="0.25">
      <c r="A25" s="19" t="s">
        <v>11</v>
      </c>
      <c r="B25" s="76"/>
      <c r="C25" s="77">
        <f t="shared" ref="C25:C47" si="12">K46</f>
        <v>1.7999999999999999E-6</v>
      </c>
      <c r="D25" s="68">
        <f t="shared" ref="D25:D56" si="13">C25*$B$3/$K$1</f>
        <v>4.4117647058823528E-8</v>
      </c>
      <c r="E25" s="68">
        <f t="shared" si="11"/>
        <v>1.9323529411764706E-7</v>
      </c>
      <c r="F25" s="92"/>
      <c r="H25" s="11"/>
      <c r="I25" s="36" t="s">
        <v>92</v>
      </c>
      <c r="J25" s="36" t="s">
        <v>91</v>
      </c>
      <c r="K25" s="36" t="s">
        <v>78</v>
      </c>
      <c r="L25" s="36" t="s">
        <v>79</v>
      </c>
      <c r="M25" s="36" t="s">
        <v>80</v>
      </c>
      <c r="N25" s="36" t="s">
        <v>81</v>
      </c>
      <c r="O25" s="35" t="s">
        <v>100</v>
      </c>
    </row>
    <row r="26" spans="1:15" x14ac:dyDescent="0.2">
      <c r="A26" s="18" t="s">
        <v>12</v>
      </c>
      <c r="B26" s="78"/>
      <c r="C26" s="79">
        <f t="shared" si="12"/>
        <v>1.5999999999999999E-5</v>
      </c>
      <c r="D26" s="69">
        <f t="shared" si="13"/>
        <v>3.9215686274509802E-7</v>
      </c>
      <c r="E26" s="69">
        <f t="shared" si="11"/>
        <v>1.7176470588235292E-6</v>
      </c>
      <c r="F26" s="92"/>
      <c r="H26" s="32" t="s">
        <v>83</v>
      </c>
      <c r="I26" s="26"/>
      <c r="J26" s="26"/>
      <c r="K26" s="85">
        <v>120000</v>
      </c>
      <c r="L26" s="27">
        <f t="shared" ref="L26:L36" si="14">$K26/$K$1</f>
        <v>117.64705882352941</v>
      </c>
      <c r="M26" s="29">
        <f t="shared" ref="M26:M36" si="15">$L26*$B$3</f>
        <v>2941.1764705882351</v>
      </c>
      <c r="N26" s="29">
        <f t="shared" ref="N26:N36" si="16">$M26*$B$4/2000</f>
        <v>12882.35294117647</v>
      </c>
      <c r="O26" s="26" t="str">
        <f>IF($E$18=N26,"Match","")</f>
        <v>Match</v>
      </c>
    </row>
    <row r="27" spans="1:15" x14ac:dyDescent="0.2">
      <c r="A27" s="19" t="s">
        <v>13</v>
      </c>
      <c r="B27" s="76"/>
      <c r="C27" s="77">
        <f t="shared" si="12"/>
        <v>1.7999999999999999E-6</v>
      </c>
      <c r="D27" s="68">
        <f t="shared" si="13"/>
        <v>4.4117647058823528E-8</v>
      </c>
      <c r="E27" s="68">
        <f t="shared" si="11"/>
        <v>1.9323529411764706E-7</v>
      </c>
      <c r="F27" s="92"/>
      <c r="H27" s="32" t="s">
        <v>9</v>
      </c>
      <c r="I27" s="26"/>
      <c r="J27" s="26"/>
      <c r="K27" s="82">
        <v>5.0000000000000001E-4</v>
      </c>
      <c r="L27" s="27">
        <f t="shared" si="14"/>
        <v>4.9019607843137254E-7</v>
      </c>
      <c r="M27" s="28">
        <f t="shared" si="15"/>
        <v>1.2254901960784313E-5</v>
      </c>
      <c r="N27" s="28">
        <f t="shared" si="16"/>
        <v>5.3676470588235289E-5</v>
      </c>
      <c r="O27" s="26" t="str">
        <f>IF($E$14=N27,"Match","")</f>
        <v>Match</v>
      </c>
    </row>
    <row r="28" spans="1:15" x14ac:dyDescent="0.2">
      <c r="A28" s="18" t="s">
        <v>14</v>
      </c>
      <c r="B28" s="78"/>
      <c r="C28" s="79">
        <f t="shared" si="12"/>
        <v>1.7999999999999999E-6</v>
      </c>
      <c r="D28" s="69">
        <f t="shared" si="13"/>
        <v>4.4117647058823528E-8</v>
      </c>
      <c r="E28" s="69">
        <f t="shared" si="11"/>
        <v>1.9323529411764706E-7</v>
      </c>
      <c r="F28" s="92"/>
      <c r="H28" s="32" t="s">
        <v>84</v>
      </c>
      <c r="I28" s="26"/>
      <c r="J28" s="24" t="s">
        <v>65</v>
      </c>
      <c r="K28" s="82">
        <v>2.2000000000000002</v>
      </c>
      <c r="L28" s="27">
        <f t="shared" si="14"/>
        <v>2.1568627450980395E-3</v>
      </c>
      <c r="M28" s="28">
        <f t="shared" si="15"/>
        <v>5.392156862745099E-2</v>
      </c>
      <c r="N28" s="28">
        <f t="shared" si="16"/>
        <v>0.23617647058823532</v>
      </c>
      <c r="O28" s="26" t="str">
        <f>IF($E$20=N28,"Match","")</f>
        <v>Match</v>
      </c>
    </row>
    <row r="29" spans="1:15" x14ac:dyDescent="0.2">
      <c r="A29" s="19" t="s">
        <v>15</v>
      </c>
      <c r="B29" s="76"/>
      <c r="C29" s="77">
        <f t="shared" si="12"/>
        <v>2.3999999999999999E-6</v>
      </c>
      <c r="D29" s="68">
        <f t="shared" si="13"/>
        <v>5.8823529411764702E-8</v>
      </c>
      <c r="E29" s="68">
        <f t="shared" si="11"/>
        <v>2.5764705882352937E-7</v>
      </c>
      <c r="F29" s="92"/>
      <c r="H29" s="26"/>
      <c r="I29" s="26"/>
      <c r="J29" s="24" t="s">
        <v>70</v>
      </c>
      <c r="K29" s="82">
        <v>0.64</v>
      </c>
      <c r="L29" s="27">
        <f t="shared" si="14"/>
        <v>6.2745098039215688E-4</v>
      </c>
      <c r="M29" s="28">
        <f t="shared" si="15"/>
        <v>1.5686274509803921E-2</v>
      </c>
      <c r="N29" s="28">
        <f t="shared" si="16"/>
        <v>6.8705882352941172E-2</v>
      </c>
      <c r="O29" s="26" t="str">
        <f>IF($E$20=N29,"Match","")</f>
        <v/>
      </c>
    </row>
    <row r="30" spans="1:15" x14ac:dyDescent="0.2">
      <c r="A30" s="18" t="s">
        <v>16</v>
      </c>
      <c r="B30" s="78"/>
      <c r="C30" s="79">
        <f t="shared" si="12"/>
        <v>1.7999999999999999E-6</v>
      </c>
      <c r="D30" s="69">
        <f t="shared" si="13"/>
        <v>4.4117647058823528E-8</v>
      </c>
      <c r="E30" s="69">
        <f t="shared" si="11"/>
        <v>1.9323529411764706E-7</v>
      </c>
      <c r="F30" s="92"/>
      <c r="H30" s="32" t="s">
        <v>85</v>
      </c>
      <c r="I30" s="26"/>
      <c r="J30" s="26"/>
      <c r="K30" s="82">
        <v>7.6</v>
      </c>
      <c r="L30" s="27">
        <f t="shared" si="14"/>
        <v>7.4509803921568628E-3</v>
      </c>
      <c r="M30" s="28">
        <f t="shared" si="15"/>
        <v>0.18627450980392157</v>
      </c>
      <c r="N30" s="28">
        <f t="shared" si="16"/>
        <v>0.8158823529411765</v>
      </c>
      <c r="O30" s="26" t="str">
        <f>IF($E$10=N30,"Match","")</f>
        <v>Match</v>
      </c>
    </row>
    <row r="31" spans="1:15" x14ac:dyDescent="0.2">
      <c r="A31" s="19" t="s">
        <v>17</v>
      </c>
      <c r="B31" s="76"/>
      <c r="C31" s="77">
        <f t="shared" si="12"/>
        <v>2.0999999999999999E-3</v>
      </c>
      <c r="D31" s="68">
        <f t="shared" si="13"/>
        <v>5.1470588235294113E-5</v>
      </c>
      <c r="E31" s="68">
        <f t="shared" si="11"/>
        <v>2.2544117647058822E-4</v>
      </c>
      <c r="F31" s="92"/>
      <c r="H31" s="24" t="s">
        <v>86</v>
      </c>
      <c r="I31" s="26"/>
      <c r="J31" s="26"/>
      <c r="K31" s="82">
        <v>5.7</v>
      </c>
      <c r="L31" s="27">
        <f t="shared" si="14"/>
        <v>5.5882352941176473E-3</v>
      </c>
      <c r="M31" s="28">
        <f t="shared" si="15"/>
        <v>0.13970588235294118</v>
      </c>
      <c r="N31" s="28">
        <f t="shared" si="16"/>
        <v>0.61191176470588227</v>
      </c>
      <c r="O31" s="26"/>
    </row>
    <row r="32" spans="1:15" x14ac:dyDescent="0.2">
      <c r="A32" s="18" t="s">
        <v>18</v>
      </c>
      <c r="B32" s="78"/>
      <c r="C32" s="79">
        <f t="shared" si="12"/>
        <v>1.1999999999999999E-6</v>
      </c>
      <c r="D32" s="69">
        <f t="shared" si="13"/>
        <v>2.9411764705882351E-8</v>
      </c>
      <c r="E32" s="69">
        <f t="shared" si="11"/>
        <v>1.2882352941176469E-7</v>
      </c>
      <c r="F32" s="92"/>
      <c r="H32" s="24" t="s">
        <v>87</v>
      </c>
      <c r="I32" s="26"/>
      <c r="J32" s="26"/>
      <c r="K32" s="82">
        <v>1.9</v>
      </c>
      <c r="L32" s="27">
        <f t="shared" si="14"/>
        <v>1.8627450980392157E-3</v>
      </c>
      <c r="M32" s="28">
        <f t="shared" si="15"/>
        <v>4.6568627450980393E-2</v>
      </c>
      <c r="N32" s="28">
        <f t="shared" si="16"/>
        <v>0.20397058823529413</v>
      </c>
      <c r="O32" s="26"/>
    </row>
    <row r="33" spans="1:15" x14ac:dyDescent="0.2">
      <c r="A33" s="19" t="s">
        <v>19</v>
      </c>
      <c r="B33" s="76"/>
      <c r="C33" s="77">
        <f t="shared" si="12"/>
        <v>1.7999999999999999E-6</v>
      </c>
      <c r="D33" s="68">
        <f t="shared" si="13"/>
        <v>4.4117647058823528E-8</v>
      </c>
      <c r="E33" s="68">
        <f t="shared" si="11"/>
        <v>1.9323529411764706E-7</v>
      </c>
      <c r="F33" s="92"/>
      <c r="H33" s="32" t="s">
        <v>88</v>
      </c>
      <c r="I33" s="26"/>
      <c r="J33" s="26"/>
      <c r="K33" s="82">
        <v>0.6</v>
      </c>
      <c r="L33" s="27">
        <f t="shared" si="14"/>
        <v>5.8823529411764701E-4</v>
      </c>
      <c r="M33" s="28">
        <f t="shared" si="15"/>
        <v>1.4705882352941175E-2</v>
      </c>
      <c r="N33" s="28">
        <f t="shared" si="16"/>
        <v>6.4411764705882349E-2</v>
      </c>
      <c r="O33" s="26" t="str">
        <f>IF($E$12=N33,"Match","")</f>
        <v>Match</v>
      </c>
    </row>
    <row r="34" spans="1:15" x14ac:dyDescent="0.2">
      <c r="A34" s="18" t="s">
        <v>20</v>
      </c>
      <c r="B34" s="78"/>
      <c r="C34" s="79">
        <f t="shared" si="12"/>
        <v>1.1999999999999999E-6</v>
      </c>
      <c r="D34" s="69">
        <f t="shared" si="13"/>
        <v>2.9411764705882351E-8</v>
      </c>
      <c r="E34" s="69">
        <f t="shared" si="11"/>
        <v>1.2882352941176469E-7</v>
      </c>
      <c r="F34" s="92"/>
      <c r="H34" s="24" t="s">
        <v>90</v>
      </c>
      <c r="I34" s="26"/>
      <c r="J34" s="26"/>
      <c r="K34" s="82">
        <v>11</v>
      </c>
      <c r="L34" s="27">
        <f t="shared" si="14"/>
        <v>1.0784313725490196E-2</v>
      </c>
      <c r="M34" s="28">
        <f t="shared" si="15"/>
        <v>0.26960784313725489</v>
      </c>
      <c r="N34" s="28">
        <f t="shared" si="16"/>
        <v>1.1808823529411763</v>
      </c>
      <c r="O34" s="26"/>
    </row>
    <row r="35" spans="1:15" x14ac:dyDescent="0.2">
      <c r="A35" s="19" t="s">
        <v>21</v>
      </c>
      <c r="B35" s="76"/>
      <c r="C35" s="77">
        <f t="shared" si="12"/>
        <v>1.7999999999999999E-6</v>
      </c>
      <c r="D35" s="68">
        <f t="shared" si="13"/>
        <v>4.4117647058823528E-8</v>
      </c>
      <c r="E35" s="68">
        <f t="shared" si="11"/>
        <v>1.9323529411764706E-7</v>
      </c>
      <c r="F35" s="92"/>
      <c r="H35" s="31" t="s">
        <v>89</v>
      </c>
      <c r="K35" s="82">
        <v>2.2999999999999998</v>
      </c>
      <c r="L35" s="27">
        <f t="shared" si="14"/>
        <v>2.2549019607843133E-3</v>
      </c>
      <c r="M35" s="23">
        <f t="shared" si="15"/>
        <v>5.6372549019607837E-2</v>
      </c>
      <c r="N35" s="23">
        <f t="shared" si="16"/>
        <v>0.24691176470588233</v>
      </c>
      <c r="O35" s="26" t="str">
        <f>IF($E$19=N35,"Match","")</f>
        <v>Match</v>
      </c>
    </row>
    <row r="36" spans="1:15" x14ac:dyDescent="0.2">
      <c r="A36" s="18" t="s">
        <v>22</v>
      </c>
      <c r="B36" s="78"/>
      <c r="C36" s="79">
        <f t="shared" si="12"/>
        <v>1.7999999999999999E-6</v>
      </c>
      <c r="D36" s="69">
        <f t="shared" si="13"/>
        <v>4.4117647058823528E-8</v>
      </c>
      <c r="E36" s="69">
        <f t="shared" si="11"/>
        <v>1.9323529411764706E-7</v>
      </c>
      <c r="F36" s="92"/>
      <c r="H36" s="31" t="s">
        <v>8</v>
      </c>
      <c r="K36" s="82">
        <v>5.5</v>
      </c>
      <c r="L36" s="27">
        <f t="shared" si="14"/>
        <v>5.392156862745098E-3</v>
      </c>
      <c r="M36" s="23">
        <f t="shared" si="15"/>
        <v>0.13480392156862744</v>
      </c>
      <c r="N36" s="23">
        <f t="shared" si="16"/>
        <v>0.59044117647058814</v>
      </c>
      <c r="O36" s="26" t="str">
        <f>IF($E$13=N36,"Match","")</f>
        <v>Match</v>
      </c>
    </row>
    <row r="37" spans="1:15" x14ac:dyDescent="0.2">
      <c r="A37" s="19" t="s">
        <v>23</v>
      </c>
      <c r="B37" s="76"/>
      <c r="C37" s="77">
        <f t="shared" si="12"/>
        <v>1.1999999999999999E-6</v>
      </c>
      <c r="D37" s="68">
        <f t="shared" si="13"/>
        <v>2.9411764705882351E-8</v>
      </c>
      <c r="E37" s="68">
        <f t="shared" si="11"/>
        <v>1.2882352941176469E-7</v>
      </c>
      <c r="F37" s="92"/>
    </row>
    <row r="38" spans="1:15" x14ac:dyDescent="0.2">
      <c r="A38" s="18" t="s">
        <v>24</v>
      </c>
      <c r="B38" s="78"/>
      <c r="C38" s="79">
        <f t="shared" si="12"/>
        <v>1.1999999999999999E-3</v>
      </c>
      <c r="D38" s="69">
        <f t="shared" si="13"/>
        <v>2.941176470588235E-5</v>
      </c>
      <c r="E38" s="69">
        <f t="shared" si="11"/>
        <v>1.2882352941176469E-4</v>
      </c>
      <c r="F38" s="92"/>
      <c r="H38" s="21"/>
      <c r="J38" s="21" t="s">
        <v>49</v>
      </c>
      <c r="M38" s="21" t="s">
        <v>80</v>
      </c>
      <c r="N38" s="21" t="s">
        <v>81</v>
      </c>
    </row>
    <row r="39" spans="1:15" x14ac:dyDescent="0.2">
      <c r="A39" s="19" t="s">
        <v>25</v>
      </c>
      <c r="B39" s="76"/>
      <c r="C39" s="77">
        <f t="shared" si="12"/>
        <v>3.0000000000000001E-6</v>
      </c>
      <c r="D39" s="68">
        <f t="shared" si="13"/>
        <v>7.3529411764705889E-8</v>
      </c>
      <c r="E39" s="68">
        <f t="shared" si="11"/>
        <v>3.2205882352941177E-7</v>
      </c>
      <c r="F39" s="92"/>
      <c r="H39" s="21" t="s">
        <v>83</v>
      </c>
      <c r="J39" s="82">
        <v>1</v>
      </c>
      <c r="M39" s="25">
        <f>M26*$J39</f>
        <v>2941.1764705882351</v>
      </c>
      <c r="N39" s="25">
        <f>N26*$J39</f>
        <v>12882.35294117647</v>
      </c>
    </row>
    <row r="40" spans="1:15" x14ac:dyDescent="0.2">
      <c r="A40" s="18" t="s">
        <v>26</v>
      </c>
      <c r="B40" s="78"/>
      <c r="C40" s="79">
        <f t="shared" si="12"/>
        <v>2.7999999999999999E-6</v>
      </c>
      <c r="D40" s="69">
        <f t="shared" si="13"/>
        <v>6.8627450980392145E-8</v>
      </c>
      <c r="E40" s="69">
        <f t="shared" si="11"/>
        <v>3.005882352941176E-7</v>
      </c>
      <c r="F40" s="92"/>
      <c r="H40" s="21" t="s">
        <v>89</v>
      </c>
      <c r="J40" s="82">
        <v>25</v>
      </c>
      <c r="M40" s="25">
        <f>M35*$J40</f>
        <v>1.409313725490196</v>
      </c>
      <c r="N40" s="25">
        <f>N35*$J40</f>
        <v>6.172794117647058</v>
      </c>
    </row>
    <row r="41" spans="1:15" x14ac:dyDescent="0.2">
      <c r="A41" s="19" t="s">
        <v>27</v>
      </c>
      <c r="B41" s="76"/>
      <c r="C41" s="77">
        <f t="shared" si="12"/>
        <v>7.4999999999999997E-2</v>
      </c>
      <c r="D41" s="68">
        <f t="shared" si="13"/>
        <v>1.838235294117647E-3</v>
      </c>
      <c r="E41" s="68">
        <f t="shared" si="11"/>
        <v>8.0514705882352936E-3</v>
      </c>
      <c r="F41" s="92"/>
      <c r="H41" s="21" t="s">
        <v>84</v>
      </c>
      <c r="J41" s="82">
        <v>298</v>
      </c>
      <c r="M41" s="25">
        <f>M28*$J41</f>
        <v>16.068627450980394</v>
      </c>
      <c r="N41" s="25">
        <f>N28*$J41</f>
        <v>70.380588235294127</v>
      </c>
    </row>
    <row r="42" spans="1:15" x14ac:dyDescent="0.2">
      <c r="A42" s="18" t="s">
        <v>28</v>
      </c>
      <c r="B42" s="78"/>
      <c r="C42" s="79">
        <f t="shared" si="12"/>
        <v>1.8</v>
      </c>
      <c r="D42" s="69">
        <f t="shared" si="13"/>
        <v>4.4117647058823532E-2</v>
      </c>
      <c r="E42" s="69">
        <f t="shared" si="11"/>
        <v>0.19323529411764706</v>
      </c>
      <c r="F42" s="92"/>
      <c r="H42" s="31" t="s">
        <v>93</v>
      </c>
      <c r="I42" s="31"/>
      <c r="J42" s="31" t="s">
        <v>94</v>
      </c>
      <c r="K42" s="31"/>
      <c r="L42" s="31"/>
      <c r="M42" s="34">
        <f>SUM(M39:M41)</f>
        <v>2958.6544117647059</v>
      </c>
      <c r="N42" s="34">
        <f>SUM(N39:N41)</f>
        <v>12958.906323529411</v>
      </c>
      <c r="O42" s="26" t="str">
        <f>IF($E$21=N42,"Match","")</f>
        <v>Match</v>
      </c>
    </row>
    <row r="43" spans="1:15" x14ac:dyDescent="0.2">
      <c r="A43" s="19" t="s">
        <v>29</v>
      </c>
      <c r="B43" s="76"/>
      <c r="C43" s="77">
        <f t="shared" si="12"/>
        <v>1.7999999999999999E-6</v>
      </c>
      <c r="D43" s="68">
        <f t="shared" si="13"/>
        <v>4.4117647058823528E-8</v>
      </c>
      <c r="E43" s="68">
        <f t="shared" si="11"/>
        <v>1.9323529411764706E-7</v>
      </c>
      <c r="F43" s="92"/>
    </row>
    <row r="44" spans="1:15" ht="13.5" thickBot="1" x14ac:dyDescent="0.25">
      <c r="A44" s="18" t="s">
        <v>30</v>
      </c>
      <c r="B44" s="78"/>
      <c r="C44" s="79">
        <f t="shared" si="12"/>
        <v>6.0999999999999997E-4</v>
      </c>
      <c r="D44" s="69">
        <f t="shared" si="13"/>
        <v>1.4950980392156863E-5</v>
      </c>
      <c r="E44" s="69">
        <f t="shared" si="11"/>
        <v>6.5485294117647054E-5</v>
      </c>
      <c r="F44" s="92"/>
      <c r="H44" s="35" t="s">
        <v>96</v>
      </c>
      <c r="I44" s="35"/>
      <c r="J44" s="35" t="s">
        <v>95</v>
      </c>
      <c r="K44" s="36" t="s">
        <v>78</v>
      </c>
      <c r="L44" s="36" t="s">
        <v>79</v>
      </c>
      <c r="M44" s="36" t="s">
        <v>80</v>
      </c>
      <c r="N44" s="36" t="s">
        <v>81</v>
      </c>
      <c r="O44" s="35" t="s">
        <v>100</v>
      </c>
    </row>
    <row r="45" spans="1:15" x14ac:dyDescent="0.2">
      <c r="A45" s="19" t="s">
        <v>31</v>
      </c>
      <c r="B45" s="76"/>
      <c r="C45" s="77">
        <f t="shared" si="12"/>
        <v>1.7E-5</v>
      </c>
      <c r="D45" s="68">
        <f t="shared" si="13"/>
        <v>4.1666666666666667E-7</v>
      </c>
      <c r="E45" s="68">
        <f t="shared" si="11"/>
        <v>1.8250000000000001E-6</v>
      </c>
      <c r="F45" s="92"/>
      <c r="I45" s="21"/>
      <c r="J45" s="1" t="s">
        <v>10</v>
      </c>
      <c r="K45" s="86">
        <v>2.4000000000000001E-5</v>
      </c>
      <c r="L45" s="30">
        <f t="shared" ref="L45:L68" si="17">$K45/$K$1</f>
        <v>2.3529411764705881E-8</v>
      </c>
      <c r="M45" s="30">
        <f t="shared" ref="M45:M68" si="18">$L45*$B$3</f>
        <v>5.8823529411764701E-7</v>
      </c>
      <c r="N45" s="30">
        <f t="shared" ref="N45:N68" si="19">$M45*$B$4/2000</f>
        <v>2.5764705882352937E-6</v>
      </c>
      <c r="O45" s="26" t="str">
        <f t="shared" ref="O45:O68" si="20">IF(E24=N45,"Match","")</f>
        <v>Match</v>
      </c>
    </row>
    <row r="46" spans="1:15" x14ac:dyDescent="0.2">
      <c r="A46" s="18" t="s">
        <v>32</v>
      </c>
      <c r="B46" s="78"/>
      <c r="C46" s="79">
        <f t="shared" si="12"/>
        <v>5.0000000000000004E-6</v>
      </c>
      <c r="D46" s="69">
        <f t="shared" si="13"/>
        <v>1.2254901960784314E-7</v>
      </c>
      <c r="E46" s="69">
        <f t="shared" si="11"/>
        <v>5.3676470588235292E-7</v>
      </c>
      <c r="F46" s="92"/>
      <c r="J46" s="1" t="s">
        <v>11</v>
      </c>
      <c r="K46" s="86">
        <v>1.7999999999999999E-6</v>
      </c>
      <c r="L46" s="30">
        <f t="shared" si="17"/>
        <v>1.7647058823529412E-9</v>
      </c>
      <c r="M46" s="30">
        <f t="shared" si="18"/>
        <v>4.4117647058823528E-8</v>
      </c>
      <c r="N46" s="30">
        <f t="shared" si="19"/>
        <v>1.9323529411764706E-7</v>
      </c>
      <c r="O46" s="26" t="str">
        <f t="shared" si="20"/>
        <v>Match</v>
      </c>
    </row>
    <row r="47" spans="1:15" x14ac:dyDescent="0.2">
      <c r="A47" s="19" t="s">
        <v>33</v>
      </c>
      <c r="B47" s="76"/>
      <c r="C47" s="77">
        <f t="shared" si="12"/>
        <v>3.3999999999999998E-3</v>
      </c>
      <c r="D47" s="68">
        <f t="shared" si="13"/>
        <v>8.3333333333333331E-5</v>
      </c>
      <c r="E47" s="68">
        <f t="shared" si="11"/>
        <v>3.6499999999999998E-4</v>
      </c>
      <c r="F47" s="92"/>
      <c r="J47" s="1" t="s">
        <v>12</v>
      </c>
      <c r="K47" s="86">
        <v>1.5999999999999999E-5</v>
      </c>
      <c r="L47" s="30">
        <f t="shared" si="17"/>
        <v>1.5686274509803922E-8</v>
      </c>
      <c r="M47" s="30">
        <f t="shared" si="18"/>
        <v>3.9215686274509808E-7</v>
      </c>
      <c r="N47" s="30">
        <f t="shared" si="19"/>
        <v>1.7176470588235296E-6</v>
      </c>
      <c r="O47" s="26" t="str">
        <f t="shared" si="20"/>
        <v>Match</v>
      </c>
    </row>
    <row r="48" spans="1:15" x14ac:dyDescent="0.2">
      <c r="A48" s="18" t="s">
        <v>34</v>
      </c>
      <c r="B48" s="78"/>
      <c r="C48" s="79">
        <f>K71</f>
        <v>2.0000000000000001E-4</v>
      </c>
      <c r="D48" s="69">
        <f t="shared" si="13"/>
        <v>4.9019607843137256E-6</v>
      </c>
      <c r="E48" s="69">
        <f t="shared" si="11"/>
        <v>2.1470588235294119E-5</v>
      </c>
      <c r="F48" s="92" t="s">
        <v>59</v>
      </c>
      <c r="J48" s="1" t="s">
        <v>13</v>
      </c>
      <c r="K48" s="86">
        <v>1.7999999999999999E-6</v>
      </c>
      <c r="L48" s="30">
        <f t="shared" si="17"/>
        <v>1.7647058823529412E-9</v>
      </c>
      <c r="M48" s="30">
        <f t="shared" si="18"/>
        <v>4.4117647058823528E-8</v>
      </c>
      <c r="N48" s="30">
        <f t="shared" si="19"/>
        <v>1.9323529411764706E-7</v>
      </c>
      <c r="O48" s="26" t="str">
        <f t="shared" si="20"/>
        <v>Match</v>
      </c>
    </row>
    <row r="49" spans="1:15" x14ac:dyDescent="0.2">
      <c r="A49" s="19" t="s">
        <v>35</v>
      </c>
      <c r="B49" s="76"/>
      <c r="C49" s="77">
        <f t="shared" ref="C49:C56" si="21">K72</f>
        <v>1.2E-5</v>
      </c>
      <c r="D49" s="68">
        <f t="shared" si="13"/>
        <v>2.9411764705882356E-7</v>
      </c>
      <c r="E49" s="68">
        <f t="shared" si="11"/>
        <v>1.2882352941176471E-6</v>
      </c>
      <c r="F49" s="92"/>
      <c r="J49" s="1" t="s">
        <v>14</v>
      </c>
      <c r="K49" s="86">
        <v>1.7999999999999999E-6</v>
      </c>
      <c r="L49" s="30">
        <f t="shared" si="17"/>
        <v>1.7647058823529412E-9</v>
      </c>
      <c r="M49" s="30">
        <f t="shared" si="18"/>
        <v>4.4117647058823528E-8</v>
      </c>
      <c r="N49" s="30">
        <f t="shared" si="19"/>
        <v>1.9323529411764706E-7</v>
      </c>
      <c r="O49" s="26" t="str">
        <f t="shared" si="20"/>
        <v>Match</v>
      </c>
    </row>
    <row r="50" spans="1:15" x14ac:dyDescent="0.2">
      <c r="A50" s="18" t="s">
        <v>36</v>
      </c>
      <c r="B50" s="78"/>
      <c r="C50" s="79">
        <f t="shared" si="21"/>
        <v>1.1000000000000001E-3</v>
      </c>
      <c r="D50" s="69">
        <f t="shared" si="13"/>
        <v>2.696078431372549E-5</v>
      </c>
      <c r="E50" s="69">
        <f t="shared" si="11"/>
        <v>1.1808823529411764E-4</v>
      </c>
      <c r="F50" s="92"/>
      <c r="J50" s="1" t="s">
        <v>15</v>
      </c>
      <c r="K50" s="86">
        <v>2.3999999999999999E-6</v>
      </c>
      <c r="L50" s="30">
        <f t="shared" si="17"/>
        <v>2.3529411764705881E-9</v>
      </c>
      <c r="M50" s="30">
        <f t="shared" si="18"/>
        <v>5.8823529411764702E-8</v>
      </c>
      <c r="N50" s="30">
        <f t="shared" si="19"/>
        <v>2.5764705882352937E-7</v>
      </c>
      <c r="O50" s="26" t="str">
        <f t="shared" si="20"/>
        <v>Match</v>
      </c>
    </row>
    <row r="51" spans="1:15" x14ac:dyDescent="0.2">
      <c r="A51" s="19" t="s">
        <v>37</v>
      </c>
      <c r="B51" s="76"/>
      <c r="C51" s="77">
        <f t="shared" si="21"/>
        <v>1.4E-3</v>
      </c>
      <c r="D51" s="68">
        <f t="shared" si="13"/>
        <v>3.4313725490196078E-5</v>
      </c>
      <c r="E51" s="68">
        <f t="shared" si="11"/>
        <v>1.5029411764705882E-4</v>
      </c>
      <c r="F51" s="92"/>
      <c r="J51" s="1" t="s">
        <v>16</v>
      </c>
      <c r="K51" s="86">
        <v>1.7999999999999999E-6</v>
      </c>
      <c r="L51" s="30">
        <f t="shared" si="17"/>
        <v>1.7647058823529412E-9</v>
      </c>
      <c r="M51" s="30">
        <f t="shared" si="18"/>
        <v>4.4117647058823528E-8</v>
      </c>
      <c r="N51" s="30">
        <f t="shared" si="19"/>
        <v>1.9323529411764706E-7</v>
      </c>
      <c r="O51" s="26" t="str">
        <f t="shared" si="20"/>
        <v>Match</v>
      </c>
    </row>
    <row r="52" spans="1:15" x14ac:dyDescent="0.2">
      <c r="A52" s="18" t="s">
        <v>38</v>
      </c>
      <c r="B52" s="78"/>
      <c r="C52" s="79">
        <f t="shared" si="21"/>
        <v>8.3999999999999995E-5</v>
      </c>
      <c r="D52" s="69">
        <f t="shared" si="13"/>
        <v>2.0588235294117645E-6</v>
      </c>
      <c r="E52" s="69">
        <f t="shared" si="11"/>
        <v>9.0176470588235279E-6</v>
      </c>
      <c r="F52" s="92"/>
      <c r="J52" s="1" t="s">
        <v>17</v>
      </c>
      <c r="K52" s="86">
        <v>2.0999999999999999E-3</v>
      </c>
      <c r="L52" s="30">
        <f t="shared" si="17"/>
        <v>2.0588235294117645E-6</v>
      </c>
      <c r="M52" s="30">
        <f t="shared" si="18"/>
        <v>5.1470588235294113E-5</v>
      </c>
      <c r="N52" s="30">
        <f t="shared" si="19"/>
        <v>2.2544117647058822E-4</v>
      </c>
      <c r="O52" s="26" t="str">
        <f t="shared" si="20"/>
        <v>Match</v>
      </c>
    </row>
    <row r="53" spans="1:15" x14ac:dyDescent="0.2">
      <c r="A53" s="19" t="s">
        <v>39</v>
      </c>
      <c r="B53" s="76"/>
      <c r="C53" s="77">
        <f t="shared" si="21"/>
        <v>3.8000000000000002E-4</v>
      </c>
      <c r="D53" s="68">
        <f t="shared" si="13"/>
        <v>9.3137254901960782E-6</v>
      </c>
      <c r="E53" s="68">
        <f t="shared" si="11"/>
        <v>4.0794117647058819E-5</v>
      </c>
      <c r="F53" s="92"/>
      <c r="J53" s="1" t="s">
        <v>18</v>
      </c>
      <c r="K53" s="86">
        <v>1.1999999999999999E-6</v>
      </c>
      <c r="L53" s="30">
        <f t="shared" si="17"/>
        <v>1.176470588235294E-9</v>
      </c>
      <c r="M53" s="30">
        <f t="shared" si="18"/>
        <v>2.9411764705882351E-8</v>
      </c>
      <c r="N53" s="30">
        <f t="shared" si="19"/>
        <v>1.2882352941176469E-7</v>
      </c>
      <c r="O53" s="26" t="str">
        <f t="shared" si="20"/>
        <v>Match</v>
      </c>
    </row>
    <row r="54" spans="1:15" x14ac:dyDescent="0.2">
      <c r="A54" s="18" t="s">
        <v>40</v>
      </c>
      <c r="B54" s="78"/>
      <c r="C54" s="79">
        <f t="shared" si="21"/>
        <v>2.5999999999999998E-4</v>
      </c>
      <c r="D54" s="69">
        <f t="shared" si="13"/>
        <v>6.3725490196078431E-6</v>
      </c>
      <c r="E54" s="69">
        <f t="shared" si="11"/>
        <v>2.7911764705882355E-5</v>
      </c>
      <c r="F54" s="92"/>
      <c r="J54" s="1" t="s">
        <v>19</v>
      </c>
      <c r="K54" s="86">
        <v>1.7999999999999999E-6</v>
      </c>
      <c r="L54" s="30">
        <f t="shared" si="17"/>
        <v>1.7647058823529412E-9</v>
      </c>
      <c r="M54" s="30">
        <f t="shared" si="18"/>
        <v>4.4117647058823528E-8</v>
      </c>
      <c r="N54" s="30">
        <f t="shared" si="19"/>
        <v>1.9323529411764706E-7</v>
      </c>
      <c r="O54" s="26" t="str">
        <f t="shared" si="20"/>
        <v>Match</v>
      </c>
    </row>
    <row r="55" spans="1:15" x14ac:dyDescent="0.2">
      <c r="A55" s="19" t="s">
        <v>41</v>
      </c>
      <c r="B55" s="76"/>
      <c r="C55" s="77">
        <f t="shared" si="21"/>
        <v>2.0999999999999999E-3</v>
      </c>
      <c r="D55" s="68">
        <f t="shared" si="13"/>
        <v>5.1470588235294113E-5</v>
      </c>
      <c r="E55" s="68">
        <f t="shared" si="11"/>
        <v>2.2544117647058822E-4</v>
      </c>
      <c r="F55" s="92"/>
      <c r="J55" s="1" t="s">
        <v>20</v>
      </c>
      <c r="K55" s="86">
        <v>1.1999999999999999E-6</v>
      </c>
      <c r="L55" s="30">
        <f t="shared" si="17"/>
        <v>1.176470588235294E-9</v>
      </c>
      <c r="M55" s="30">
        <f t="shared" si="18"/>
        <v>2.9411764705882351E-8</v>
      </c>
      <c r="N55" s="30">
        <f t="shared" si="19"/>
        <v>1.2882352941176469E-7</v>
      </c>
      <c r="O55" s="26" t="str">
        <f t="shared" si="20"/>
        <v>Match</v>
      </c>
    </row>
    <row r="56" spans="1:15" ht="13.5" thickBot="1" x14ac:dyDescent="0.25">
      <c r="A56" s="70" t="s">
        <v>42</v>
      </c>
      <c r="B56" s="80"/>
      <c r="C56" s="81">
        <f t="shared" si="21"/>
        <v>2.4000000000000001E-5</v>
      </c>
      <c r="D56" s="71">
        <f t="shared" si="13"/>
        <v>5.8823529411764711E-7</v>
      </c>
      <c r="E56" s="71">
        <f t="shared" si="11"/>
        <v>2.5764705882352942E-6</v>
      </c>
      <c r="F56" s="93"/>
      <c r="J56" s="1" t="s">
        <v>21</v>
      </c>
      <c r="K56" s="86">
        <v>1.7999999999999999E-6</v>
      </c>
      <c r="L56" s="30">
        <f t="shared" si="17"/>
        <v>1.7647058823529412E-9</v>
      </c>
      <c r="M56" s="30">
        <f t="shared" si="18"/>
        <v>4.4117647058823528E-8</v>
      </c>
      <c r="N56" s="30">
        <f t="shared" si="19"/>
        <v>1.9323529411764706E-7</v>
      </c>
      <c r="O56" s="26" t="str">
        <f t="shared" si="20"/>
        <v>Match</v>
      </c>
    </row>
    <row r="57" spans="1:15" x14ac:dyDescent="0.2">
      <c r="J57" s="1" t="s">
        <v>22</v>
      </c>
      <c r="K57" s="86">
        <v>1.7999999999999999E-6</v>
      </c>
      <c r="L57" s="30">
        <f t="shared" si="17"/>
        <v>1.7647058823529412E-9</v>
      </c>
      <c r="M57" s="30">
        <f t="shared" si="18"/>
        <v>4.4117647058823528E-8</v>
      </c>
      <c r="N57" s="30">
        <f t="shared" si="19"/>
        <v>1.9323529411764706E-7</v>
      </c>
      <c r="O57" s="26" t="str">
        <f t="shared" si="20"/>
        <v>Match</v>
      </c>
    </row>
    <row r="58" spans="1:15" x14ac:dyDescent="0.2">
      <c r="J58" s="1" t="s">
        <v>23</v>
      </c>
      <c r="K58" s="86">
        <v>1.1999999999999999E-6</v>
      </c>
      <c r="L58" s="30">
        <f t="shared" si="17"/>
        <v>1.176470588235294E-9</v>
      </c>
      <c r="M58" s="30">
        <f t="shared" si="18"/>
        <v>2.9411764705882351E-8</v>
      </c>
      <c r="N58" s="30">
        <f t="shared" si="19"/>
        <v>1.2882352941176469E-7</v>
      </c>
      <c r="O58" s="26" t="str">
        <f t="shared" si="20"/>
        <v>Match</v>
      </c>
    </row>
    <row r="59" spans="1:15" x14ac:dyDescent="0.2">
      <c r="J59" s="1" t="s">
        <v>24</v>
      </c>
      <c r="K59" s="86">
        <v>1.1999999999999999E-3</v>
      </c>
      <c r="L59" s="30">
        <f t="shared" si="17"/>
        <v>1.176470588235294E-6</v>
      </c>
      <c r="M59" s="30">
        <f t="shared" si="18"/>
        <v>2.941176470588235E-5</v>
      </c>
      <c r="N59" s="30">
        <f t="shared" si="19"/>
        <v>1.2882352941176469E-4</v>
      </c>
      <c r="O59" s="26" t="str">
        <f t="shared" si="20"/>
        <v>Match</v>
      </c>
    </row>
    <row r="60" spans="1:15" x14ac:dyDescent="0.2">
      <c r="J60" s="1" t="s">
        <v>25</v>
      </c>
      <c r="K60" s="86">
        <v>3.0000000000000001E-6</v>
      </c>
      <c r="L60" s="30">
        <f t="shared" si="17"/>
        <v>2.9411764705882352E-9</v>
      </c>
      <c r="M60" s="30">
        <f t="shared" si="18"/>
        <v>7.3529411764705876E-8</v>
      </c>
      <c r="N60" s="30">
        <f t="shared" si="19"/>
        <v>3.2205882352941172E-7</v>
      </c>
      <c r="O60" s="26" t="str">
        <f t="shared" si="20"/>
        <v>Match</v>
      </c>
    </row>
    <row r="61" spans="1:15" x14ac:dyDescent="0.2">
      <c r="J61" s="1" t="s">
        <v>26</v>
      </c>
      <c r="K61" s="86">
        <v>2.7999999999999999E-6</v>
      </c>
      <c r="L61" s="30">
        <f t="shared" si="17"/>
        <v>2.7450980392156863E-9</v>
      </c>
      <c r="M61" s="30">
        <f t="shared" si="18"/>
        <v>6.8627450980392158E-8</v>
      </c>
      <c r="N61" s="30">
        <f t="shared" si="19"/>
        <v>3.0058823529411766E-7</v>
      </c>
      <c r="O61" s="26" t="str">
        <f t="shared" si="20"/>
        <v>Match</v>
      </c>
    </row>
    <row r="62" spans="1:15" x14ac:dyDescent="0.2">
      <c r="J62" s="1" t="s">
        <v>27</v>
      </c>
      <c r="K62" s="86">
        <v>7.4999999999999997E-2</v>
      </c>
      <c r="L62" s="30">
        <f t="shared" si="17"/>
        <v>7.3529411764705876E-5</v>
      </c>
      <c r="M62" s="30">
        <f t="shared" si="18"/>
        <v>1.8382352941176468E-3</v>
      </c>
      <c r="N62" s="30">
        <f t="shared" si="19"/>
        <v>8.0514705882352936E-3</v>
      </c>
      <c r="O62" s="26" t="str">
        <f t="shared" si="20"/>
        <v>Match</v>
      </c>
    </row>
    <row r="63" spans="1:15" x14ac:dyDescent="0.2">
      <c r="J63" s="1" t="s">
        <v>28</v>
      </c>
      <c r="K63" s="86">
        <v>1.8</v>
      </c>
      <c r="L63" s="30">
        <f t="shared" si="17"/>
        <v>1.7647058823529412E-3</v>
      </c>
      <c r="M63" s="30">
        <f t="shared" si="18"/>
        <v>4.4117647058823532E-2</v>
      </c>
      <c r="N63" s="30">
        <f t="shared" si="19"/>
        <v>0.19323529411764706</v>
      </c>
      <c r="O63" s="26" t="str">
        <f t="shared" si="20"/>
        <v>Match</v>
      </c>
    </row>
    <row r="64" spans="1:15" x14ac:dyDescent="0.2">
      <c r="J64" s="1" t="s">
        <v>29</v>
      </c>
      <c r="K64" s="86">
        <v>1.7999999999999999E-6</v>
      </c>
      <c r="L64" s="30">
        <f t="shared" si="17"/>
        <v>1.7647058823529412E-9</v>
      </c>
      <c r="M64" s="30">
        <f t="shared" si="18"/>
        <v>4.4117647058823528E-8</v>
      </c>
      <c r="N64" s="30">
        <f t="shared" si="19"/>
        <v>1.9323529411764706E-7</v>
      </c>
      <c r="O64" s="26" t="str">
        <f t="shared" si="20"/>
        <v>Match</v>
      </c>
    </row>
    <row r="65" spans="8:15" x14ac:dyDescent="0.2">
      <c r="J65" s="1" t="s">
        <v>30</v>
      </c>
      <c r="K65" s="86">
        <v>6.0999999999999997E-4</v>
      </c>
      <c r="L65" s="30">
        <f t="shared" si="17"/>
        <v>5.9803921568627444E-7</v>
      </c>
      <c r="M65" s="30">
        <f t="shared" si="18"/>
        <v>1.4950980392156861E-5</v>
      </c>
      <c r="N65" s="30">
        <f t="shared" si="19"/>
        <v>6.548529411764704E-5</v>
      </c>
      <c r="O65" s="26" t="str">
        <f t="shared" si="20"/>
        <v/>
      </c>
    </row>
    <row r="66" spans="8:15" x14ac:dyDescent="0.2">
      <c r="J66" s="1" t="s">
        <v>31</v>
      </c>
      <c r="K66" s="86">
        <v>1.7E-5</v>
      </c>
      <c r="L66" s="30">
        <f t="shared" si="17"/>
        <v>1.6666666666666667E-8</v>
      </c>
      <c r="M66" s="30">
        <f t="shared" si="18"/>
        <v>4.1666666666666667E-7</v>
      </c>
      <c r="N66" s="30">
        <f t="shared" si="19"/>
        <v>1.8250000000000001E-6</v>
      </c>
      <c r="O66" s="26" t="str">
        <f t="shared" si="20"/>
        <v>Match</v>
      </c>
    </row>
    <row r="67" spans="8:15" x14ac:dyDescent="0.2">
      <c r="J67" s="1" t="s">
        <v>32</v>
      </c>
      <c r="K67" s="86">
        <v>5.0000000000000004E-6</v>
      </c>
      <c r="L67" s="30">
        <f t="shared" si="17"/>
        <v>4.9019607843137263E-9</v>
      </c>
      <c r="M67" s="30">
        <f t="shared" si="18"/>
        <v>1.2254901960784316E-7</v>
      </c>
      <c r="N67" s="30">
        <f t="shared" si="19"/>
        <v>5.3676470588235302E-7</v>
      </c>
      <c r="O67" s="26" t="str">
        <f t="shared" si="20"/>
        <v>Match</v>
      </c>
    </row>
    <row r="68" spans="8:15" x14ac:dyDescent="0.2">
      <c r="J68" s="1" t="s">
        <v>33</v>
      </c>
      <c r="K68" s="86">
        <v>3.3999999999999998E-3</v>
      </c>
      <c r="L68" s="30">
        <f t="shared" si="17"/>
        <v>3.3333333333333333E-6</v>
      </c>
      <c r="M68" s="30">
        <f t="shared" si="18"/>
        <v>8.3333333333333331E-5</v>
      </c>
      <c r="N68" s="30">
        <f t="shared" si="19"/>
        <v>3.6499999999999998E-4</v>
      </c>
      <c r="O68" s="26" t="str">
        <f t="shared" si="20"/>
        <v>Match</v>
      </c>
    </row>
    <row r="70" spans="8:15" ht="13.5" thickBot="1" x14ac:dyDescent="0.25">
      <c r="H70" s="35" t="s">
        <v>97</v>
      </c>
      <c r="I70" s="35"/>
      <c r="J70" s="35" t="s">
        <v>98</v>
      </c>
      <c r="K70" s="36" t="s">
        <v>78</v>
      </c>
      <c r="L70" s="36" t="s">
        <v>79</v>
      </c>
      <c r="M70" s="36" t="s">
        <v>80</v>
      </c>
      <c r="N70" s="36" t="s">
        <v>81</v>
      </c>
      <c r="O70" s="35" t="s">
        <v>100</v>
      </c>
    </row>
    <row r="71" spans="8:15" x14ac:dyDescent="0.2">
      <c r="H71" s="33"/>
      <c r="I71" s="33"/>
      <c r="J71" s="33" t="s">
        <v>34</v>
      </c>
      <c r="K71" s="86">
        <v>2.0000000000000001E-4</v>
      </c>
      <c r="L71" s="30">
        <f t="shared" ref="L71:L79" si="22">$K71/$K$1</f>
        <v>1.9607843137254904E-7</v>
      </c>
      <c r="M71" s="30">
        <f t="shared" ref="M71:M79" si="23">$L71*$B$3</f>
        <v>4.9019607843137256E-6</v>
      </c>
      <c r="N71" s="30">
        <f t="shared" ref="N71:N79" si="24">$M71*$B$4/2000</f>
        <v>2.1470588235294119E-5</v>
      </c>
      <c r="O71" s="26" t="str">
        <f t="shared" ref="O71:O79" si="25">IF(E48=N71,"Match","")</f>
        <v>Match</v>
      </c>
    </row>
    <row r="72" spans="8:15" ht="12" customHeight="1" x14ac:dyDescent="0.2">
      <c r="H72" s="33"/>
      <c r="I72" s="33"/>
      <c r="J72" s="33" t="s">
        <v>35</v>
      </c>
      <c r="K72" s="86">
        <v>1.2E-5</v>
      </c>
      <c r="L72" s="30">
        <f t="shared" si="22"/>
        <v>1.1764705882352941E-8</v>
      </c>
      <c r="M72" s="30">
        <f t="shared" si="23"/>
        <v>2.941176470588235E-7</v>
      </c>
      <c r="N72" s="30">
        <f t="shared" si="24"/>
        <v>1.2882352941176469E-6</v>
      </c>
      <c r="O72" s="26" t="str">
        <f t="shared" si="25"/>
        <v>Match</v>
      </c>
    </row>
    <row r="73" spans="8:15" x14ac:dyDescent="0.2">
      <c r="H73" s="33"/>
      <c r="I73" s="33"/>
      <c r="J73" s="33" t="s">
        <v>36</v>
      </c>
      <c r="K73" s="86">
        <v>1.1000000000000001E-3</v>
      </c>
      <c r="L73" s="30">
        <f t="shared" si="22"/>
        <v>1.0784313725490197E-6</v>
      </c>
      <c r="M73" s="30">
        <f t="shared" si="23"/>
        <v>2.696078431372549E-5</v>
      </c>
      <c r="N73" s="30">
        <f t="shared" si="24"/>
        <v>1.1808823529411764E-4</v>
      </c>
      <c r="O73" s="26" t="str">
        <f t="shared" si="25"/>
        <v>Match</v>
      </c>
    </row>
    <row r="74" spans="8:15" x14ac:dyDescent="0.2">
      <c r="H74" s="33"/>
      <c r="I74" s="33"/>
      <c r="J74" s="33" t="s">
        <v>37</v>
      </c>
      <c r="K74" s="86">
        <v>1.4E-3</v>
      </c>
      <c r="L74" s="30">
        <f t="shared" si="22"/>
        <v>1.3725490196078432E-6</v>
      </c>
      <c r="M74" s="30">
        <f t="shared" si="23"/>
        <v>3.4313725490196078E-5</v>
      </c>
      <c r="N74" s="30">
        <f t="shared" si="24"/>
        <v>1.5029411764705882E-4</v>
      </c>
      <c r="O74" s="26" t="str">
        <f t="shared" si="25"/>
        <v>Match</v>
      </c>
    </row>
    <row r="75" spans="8:15" x14ac:dyDescent="0.2">
      <c r="H75" s="33"/>
      <c r="I75" s="33"/>
      <c r="J75" s="33" t="s">
        <v>38</v>
      </c>
      <c r="K75" s="86">
        <v>8.3999999999999995E-5</v>
      </c>
      <c r="L75" s="30">
        <f t="shared" si="22"/>
        <v>8.2352941176470587E-8</v>
      </c>
      <c r="M75" s="30">
        <f t="shared" si="23"/>
        <v>2.0588235294117645E-6</v>
      </c>
      <c r="N75" s="30">
        <f t="shared" si="24"/>
        <v>9.0176470588235279E-6</v>
      </c>
      <c r="O75" s="26" t="str">
        <f t="shared" si="25"/>
        <v>Match</v>
      </c>
    </row>
    <row r="76" spans="8:15" x14ac:dyDescent="0.2">
      <c r="H76" s="33"/>
      <c r="I76" s="33"/>
      <c r="J76" s="33" t="s">
        <v>39</v>
      </c>
      <c r="K76" s="86">
        <v>3.8000000000000002E-4</v>
      </c>
      <c r="L76" s="30">
        <f t="shared" si="22"/>
        <v>3.7254901960784315E-7</v>
      </c>
      <c r="M76" s="30">
        <f t="shared" si="23"/>
        <v>9.3137254901960782E-6</v>
      </c>
      <c r="N76" s="30">
        <f t="shared" si="24"/>
        <v>4.0794117647058819E-5</v>
      </c>
      <c r="O76" s="26" t="str">
        <f t="shared" si="25"/>
        <v>Match</v>
      </c>
    </row>
    <row r="77" spans="8:15" x14ac:dyDescent="0.2">
      <c r="J77" s="1" t="s">
        <v>40</v>
      </c>
      <c r="K77" s="86">
        <v>2.5999999999999998E-4</v>
      </c>
      <c r="L77" s="30">
        <f t="shared" si="22"/>
        <v>2.5490196078431371E-7</v>
      </c>
      <c r="M77" s="30">
        <f t="shared" si="23"/>
        <v>6.3725490196078423E-6</v>
      </c>
      <c r="N77" s="30">
        <f t="shared" si="24"/>
        <v>2.7911764705882348E-5</v>
      </c>
      <c r="O77" s="26" t="str">
        <f t="shared" si="25"/>
        <v/>
      </c>
    </row>
    <row r="78" spans="8:15" x14ac:dyDescent="0.2">
      <c r="J78" s="1" t="s">
        <v>41</v>
      </c>
      <c r="K78" s="86">
        <v>2.0999999999999999E-3</v>
      </c>
      <c r="L78" s="30">
        <f t="shared" si="22"/>
        <v>2.0588235294117645E-6</v>
      </c>
      <c r="M78" s="30">
        <f t="shared" si="23"/>
        <v>5.1470588235294113E-5</v>
      </c>
      <c r="N78" s="30">
        <f t="shared" si="24"/>
        <v>2.2544117647058822E-4</v>
      </c>
      <c r="O78" s="26" t="str">
        <f t="shared" si="25"/>
        <v>Match</v>
      </c>
    </row>
    <row r="79" spans="8:15" x14ac:dyDescent="0.2">
      <c r="J79" s="1" t="s">
        <v>42</v>
      </c>
      <c r="K79" s="86">
        <v>2.4000000000000001E-5</v>
      </c>
      <c r="L79" s="30">
        <f t="shared" si="22"/>
        <v>2.3529411764705881E-8</v>
      </c>
      <c r="M79" s="30">
        <f t="shared" si="23"/>
        <v>5.8823529411764701E-7</v>
      </c>
      <c r="N79" s="30">
        <f t="shared" si="24"/>
        <v>2.5764705882352937E-6</v>
      </c>
      <c r="O79" s="26" t="str">
        <f t="shared" si="25"/>
        <v>Match</v>
      </c>
    </row>
    <row r="81" spans="8:15" ht="13.5" thickBot="1" x14ac:dyDescent="0.25">
      <c r="H81" s="35" t="s">
        <v>99</v>
      </c>
      <c r="I81" s="35"/>
      <c r="J81" s="35" t="s">
        <v>99</v>
      </c>
      <c r="K81" s="6"/>
      <c r="L81" s="6"/>
      <c r="M81" s="36" t="s">
        <v>80</v>
      </c>
      <c r="N81" s="36" t="s">
        <v>81</v>
      </c>
      <c r="O81" s="35" t="s">
        <v>100</v>
      </c>
    </row>
    <row r="82" spans="8:15" x14ac:dyDescent="0.2">
      <c r="M82" s="23">
        <f>SUM(M71:M79)+SUM(M45:M68)+M27</f>
        <v>4.628574019607843E-2</v>
      </c>
      <c r="N82" s="23">
        <f>SUM(N71:N79)+SUM(N45:N68)+N27</f>
        <v>0.20273154205882354</v>
      </c>
      <c r="O82" s="26" t="str">
        <f>IF(E15=N82,"Match","")</f>
        <v>Match</v>
      </c>
    </row>
    <row r="84" spans="8:15" ht="13.5" thickBot="1" x14ac:dyDescent="0.25">
      <c r="H84" s="35" t="s">
        <v>105</v>
      </c>
      <c r="I84" s="6"/>
      <c r="J84" s="6"/>
      <c r="K84" s="6"/>
      <c r="L84" s="6"/>
      <c r="M84" s="6"/>
      <c r="N84" s="6"/>
      <c r="O84" s="6"/>
    </row>
    <row r="88" spans="8:15" x14ac:dyDescent="0.2">
      <c r="H88" s="1" t="s">
        <v>101</v>
      </c>
    </row>
    <row r="90" spans="8:15" x14ac:dyDescent="0.2">
      <c r="J90" s="21" t="s">
        <v>102</v>
      </c>
      <c r="K90" s="26">
        <v>46.1</v>
      </c>
      <c r="L90" s="21" t="s">
        <v>104</v>
      </c>
    </row>
    <row r="91" spans="8:15" x14ac:dyDescent="0.2">
      <c r="J91" s="21" t="s">
        <v>103</v>
      </c>
      <c r="K91" s="26">
        <v>28.01</v>
      </c>
      <c r="L91" s="21" t="s">
        <v>104</v>
      </c>
    </row>
    <row r="93" spans="8:15" ht="13.5" thickBot="1" x14ac:dyDescent="0.25">
      <c r="H93" s="35"/>
      <c r="I93" s="35" t="s">
        <v>106</v>
      </c>
      <c r="J93" s="36" t="s">
        <v>79</v>
      </c>
      <c r="K93" s="36" t="s">
        <v>80</v>
      </c>
      <c r="L93" s="36" t="s">
        <v>81</v>
      </c>
      <c r="M93" s="35" t="s">
        <v>100</v>
      </c>
    </row>
    <row r="94" spans="8:15" x14ac:dyDescent="0.2">
      <c r="H94" s="21" t="s">
        <v>68</v>
      </c>
      <c r="I94" s="1">
        <f>B8</f>
        <v>0</v>
      </c>
      <c r="J94" s="1">
        <f>($I94/1000000)*(20.9/(20.9-3))*8710*$K90/385.44</f>
        <v>0</v>
      </c>
      <c r="K94" s="28">
        <f>$J94*$B$3</f>
        <v>0</v>
      </c>
      <c r="L94" s="28">
        <f>$K94*$B$4/2000</f>
        <v>0</v>
      </c>
      <c r="M94" s="26" t="str">
        <f>IF(E8=L94,"Match","")</f>
        <v/>
      </c>
    </row>
    <row r="95" spans="8:15" x14ac:dyDescent="0.2">
      <c r="H95" s="21" t="s">
        <v>4</v>
      </c>
      <c r="I95" s="1">
        <f>B9</f>
        <v>0</v>
      </c>
      <c r="J95" s="1">
        <f>($I95/1000000)*(20.9/(20.9-3))*8710*$K91/385.44</f>
        <v>0</v>
      </c>
      <c r="K95" s="28">
        <f>$J95*$B$3</f>
        <v>0</v>
      </c>
      <c r="L95" s="28">
        <f>$K95*$B$4/2000</f>
        <v>0</v>
      </c>
      <c r="M95" s="26" t="str">
        <f>IF(E9=L95,"Match","")</f>
        <v/>
      </c>
    </row>
  </sheetData>
  <sheetProtection password="ED7B" sheet="1" objects="1" scenarios="1" selectLockedCells="1"/>
  <protectedRanges>
    <protectedRange sqref="B8:B9 B10:D13 B3 B5" name="Input Cells"/>
    <protectedRange sqref="B4" name="Input Cells_1"/>
  </protectedRanges>
  <mergeCells count="7">
    <mergeCell ref="F48:F56"/>
    <mergeCell ref="F8:F9"/>
    <mergeCell ref="F10:F14"/>
    <mergeCell ref="A1:F1"/>
    <mergeCell ref="F18:F21"/>
    <mergeCell ref="F24:F47"/>
    <mergeCell ref="B23:C23"/>
  </mergeCells>
  <dataValidations count="2">
    <dataValidation type="list" allowBlank="1" showInputMessage="1" showErrorMessage="1" sqref="B5">
      <formula1>"Normal, Tangential"</formula1>
    </dataValidation>
    <dataValidation type="decimal" operator="lessThanOrEqual" allowBlank="1" showInputMessage="1" showErrorMessage="1" sqref="B4">
      <formula1>8760</formula1>
    </dataValidation>
  </dataValidations>
  <pageMargins left="0.7" right="0.7" top="0.75" bottom="0.75" header="0.3" footer="0.3"/>
  <pageSetup scale="83" orientation="portrait" r:id="rId1"/>
  <headerFooter>
    <oddHeader>&amp;L&amp;G</oddHeader>
    <oddFooter>&amp;CPage &amp;P of &amp;N&amp;RVersion 1.0
November 29, 2018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Boiler NG</vt:lpstr>
      <vt:lpstr>'Boiler NG'!Print_Area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2018-11-28T21:24:28Z</cp:lastPrinted>
  <dcterms:created xsi:type="dcterms:W3CDTF">2018-06-18T20:27:23Z</dcterms:created>
  <dcterms:modified xsi:type="dcterms:W3CDTF">2018-11-29T18:36:31Z</dcterms:modified>
</cp:coreProperties>
</file>